
<file path=[Content_Types].xml><?xml version="1.0" encoding="utf-8"?>
<Types xmlns="http://schemas.openxmlformats.org/package/2006/content-types">
  <Override PartName="/xl/_rels/workbook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_rels/sheet3.xml.rels" ContentType="application/vnd.openxmlformats-package.relationships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_rels/drawing1.xml.rels" ContentType="application/vnd.openxmlformats-package.relationships+xml"/>
  <Override PartName="/xl/drawings/_rels/drawing3.xml.rels" ContentType="application/vnd.openxmlformats-package.relationships+xml"/>
  <Override PartName="/xl/drawings/_rels/drawing2.xml.rels" ContentType="application/vnd.openxmlformats-package.relationships+xml"/>
  <Override PartName="/xl/drawings/drawing3.xml" ContentType="application/vnd.openxmlformats-officedocument.drawing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media/image26.jpeg" ContentType="image/jpeg"/>
  <Override PartName="/xl/media/image25.jpeg" ContentType="image/jpeg"/>
  <Override PartName="/xl/media/image24.jpeg" ContentType="image/jpeg"/>
  <Override PartName="/xl/media/image23.jpeg" ContentType="image/jpeg"/>
  <Override PartName="/xl/media/image21.jpeg" ContentType="image/jpeg"/>
  <Override PartName="/xl/media/image20.jpeg" ContentType="image/jpeg"/>
  <Override PartName="/xl/media/image17.jpeg" ContentType="image/jpeg"/>
  <Override PartName="/xl/media/image1.wmf" ContentType="image/x-wmf"/>
  <Override PartName="/xl/media/image6.png" ContentType="image/png"/>
  <Override PartName="/xl/media/image5.png" ContentType="image/png"/>
  <Override PartName="/xl/media/image4.png" ContentType="image/png"/>
  <Override PartName="/xl/media/image3.png" ContentType="image/png"/>
  <Override PartName="/xl/media/image7.png" ContentType="image/png"/>
  <Override PartName="/xl/media/image8.png" ContentType="image/png"/>
  <Override PartName="/xl/media/image9.png" ContentType="image/png"/>
  <Override PartName="/xl/media/image22.png" ContentType="image/png"/>
  <Override PartName="/xl/media/image19.png" ContentType="image/png"/>
  <Override PartName="/xl/media/image18.png" ContentType="image/png"/>
  <Override PartName="/xl/media/image13.png" ContentType="image/png"/>
  <Override PartName="/xl/media/image2.jpeg" ContentType="image/jpeg"/>
  <Override PartName="/xl/media/image10.png" ContentType="image/png"/>
  <Override PartName="/xl/media/image11.png" ContentType="image/png"/>
  <Override PartName="/xl/media/image12.png" ContentType="image/png"/>
  <Override PartName="/xl/media/image14.png" ContentType="image/png"/>
  <Override PartName="/xl/media/image15.png" ContentType="image/png"/>
  <Override PartName="/xl/media/image16.png" ContentType="image/png"/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Champ - Echantillonnage" sheetId="1" state="visible" r:id="rId2"/>
    <sheet name="Tubes optiques" sheetId="2" state="visible" r:id="rId3"/>
    <sheet name="Caméras" sheetId="3" state="visible" r:id="rId4"/>
  </sheets>
  <definedNames>
    <definedName function="false" hidden="false" name="ASA" vbProcedure="false">'Tubes optiques'!$B$2:$B$6</definedName>
    <definedName function="false" hidden="false" name="Astrophysics" vbProcedure="false">'Tubes optiques'!$B$7:$B$15</definedName>
    <definedName function="false" hidden="false" name="Astro_Tech" vbProcedure="false">'Tubes optiques'!$B$16:$B$25</definedName>
    <definedName function="false" hidden="false" name="ATIK" vbProcedure="false">Caméras!$B$2:$B$8</definedName>
    <definedName function="false" hidden="false" name="Autre_Imageur" vbProcedure="false">Caméras!$B$103</definedName>
    <definedName function="false" hidden="false" name="Autre_Optique" vbProcedure="false">'Tubes optiques'!$B$136</definedName>
    <definedName function="false" hidden="false" name="Basler" vbProcedure="false">Caméras!$B$9:$B$11</definedName>
    <definedName function="false" hidden="false" name="Canon" vbProcedure="false">Caméras!$B$12:$B$36</definedName>
    <definedName function="false" hidden="false" name="Canon_Objectifs" vbProcedure="false">'Tubes optiques'!$B$131:$B$135</definedName>
    <definedName function="false" hidden="false" name="Celestron" vbProcedure="false">'Tubes optiques'!$B$26:$B$30</definedName>
    <definedName function="false" hidden="false" name="Couleur" vbProcedure="false">#REF!</definedName>
    <definedName function="false" hidden="false" name="Divers" vbProcedure="false">Caméras!$B$147</definedName>
    <definedName function="false" hidden="false" name="GSO" vbProcedure="false">'Tubes optiques'!$B$31:$B$34</definedName>
    <definedName function="false" hidden="false" name="Lumenera" vbProcedure="false">Caméras!$B$37:$B$39</definedName>
    <definedName function="false" hidden="false" name="Marques_Caméras" vbProcedure="false">Caméras!$T$2:$T$13</definedName>
    <definedName function="false" hidden="false" name="Marques_OTA" vbProcedure="false">'Tubes optiques'!$K$2:$K$18</definedName>
    <definedName function="false" hidden="false" name="Meade" vbProcedure="false">'Tubes optiques'!$B$35:$B$42</definedName>
    <definedName function="false" hidden="false" name="Nikon" vbProcedure="false">Caméras!$B$40:$B$62</definedName>
    <definedName function="false" hidden="false" name="Officina_Stellare" vbProcedure="false">'Tubes optiques'!$B$43:$B$58</definedName>
    <definedName function="false" hidden="false" name="Orion" vbProcedure="false">'Tubes optiques'!$B$59:$B$67</definedName>
    <definedName function="false" hidden="false" name="QHY" vbProcedure="false">Caméras!$B$101:$B$145</definedName>
    <definedName function="false" hidden="false" name="QSI" vbProcedure="false">Caméras!$B$63:$B$68</definedName>
    <definedName function="false" hidden="false" name="SBIG" vbProcedure="false">Caméras!$B$69:$B$83</definedName>
    <definedName function="false" hidden="false" name="Skywatcher" vbProcedure="false">'Tubes optiques'!$B$68:$B$70</definedName>
    <definedName function="false" hidden="false" name="Starlight_Xpress" vbProcedure="false">Caméras!$B$90:$B$96</definedName>
    <definedName function="false" hidden="false" name="Takahashi" vbProcedure="false">'Tubes optiques'!$B$71:$B$95</definedName>
    <definedName function="false" hidden="false" name="TEC" vbProcedure="false">'Tubes optiques'!$B$96:$B$99</definedName>
    <definedName function="false" hidden="false" name="Televue" vbProcedure="false">'Tubes optiques'!$B$100:$B$105</definedName>
    <definedName function="false" hidden="false" name="The_Imaging_Source" vbProcedure="false">Caméras!$B$97:$B$100</definedName>
    <definedName function="false" hidden="false" name="TMB" vbProcedure="false">'Tubes optiques'!$B$106:$B$108</definedName>
    <definedName function="false" hidden="false" name="Vixen" vbProcedure="false">'Tubes optiques'!$B$109:$B$122</definedName>
    <definedName function="false" hidden="false" name="William_Optics" vbProcedure="false">'Tubes optiques'!$B$123:$B$130</definedName>
    <definedName function="false" hidden="false" name="ZWO" vbProcedure="false">Caméras!$B$146:$B$155</definedName>
    <definedName function="false" hidden="false" name="λ" vbProcedure="false">'Tubes optiques'!$H$2:$H$12</definedName>
    <definedName function="false" hidden="false" localSheetId="2" name="Excel_BuiltIn__FilterDatabase" vbProcedure="false">Caméras!$B$1:$R$103</definedName>
  </definedName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<sst xmlns="http://schemas.openxmlformats.org/spreadsheetml/2006/main" count="1087" uniqueCount="663">
  <si>
    <t xml:space="preserve">© Axel VINCENT AVEX2011</t>
  </si>
  <si>
    <t xml:space="preserve">Calcul de champ et d'échantillonage AVEX</t>
  </si>
  <si>
    <t xml:space="preserve">En bleu : les champs à renseigner (liste déroulante ou valeurs à saisir)</t>
  </si>
  <si>
    <t xml:space="preserve">En rouge : les résultats</t>
  </si>
  <si>
    <t xml:space="preserve">Calcul du champ photo et de l'échantillonnage</t>
  </si>
  <si>
    <t xml:space="preserve">Tube optique</t>
  </si>
  <si>
    <t xml:space="preserve">Barlow - Réducteur
(×)</t>
  </si>
  <si>
    <t xml:space="preserve">Longueur d'onde
considérée</t>
  </si>
  <si>
    <t xml:space="preserve">Turbulence
(")</t>
  </si>
  <si>
    <t xml:space="preserve">Imageur</t>
  </si>
  <si>
    <t xml:space="preserve">Champ ( ° ' " )</t>
  </si>
  <si>
    <t xml:space="preserve">Taille d'un objet</t>
  </si>
  <si>
    <t xml:space="preserve">Marque</t>
  </si>
  <si>
    <t xml:space="preserve">Modèle</t>
  </si>
  <si>
    <t xml:space="preserve">Largeur</t>
  </si>
  <si>
    <t xml:space="preserve">Hauteur</t>
  </si>
  <si>
    <t xml:space="preserve">Diagonale</t>
  </si>
  <si>
    <t xml:space="preserve">°</t>
  </si>
  <si>
    <t xml:space="preserve">'</t>
  </si>
  <si>
    <t xml:space="preserve">"</t>
  </si>
  <si>
    <t xml:space="preserve">(pixels)</t>
  </si>
  <si>
    <t xml:space="preserve">ASA</t>
  </si>
  <si>
    <t xml:space="preserve">8N-OK3</t>
  </si>
  <si>
    <t xml:space="preserve">Vert (550 nm)</t>
  </si>
  <si>
    <t xml:space="preserve">QHY</t>
  </si>
  <si>
    <t xml:space="preserve">QHY183M/C</t>
  </si>
  <si>
    <t xml:space="preserve">Diamètre</t>
  </si>
  <si>
    <t xml:space="preserve">Capteur</t>
  </si>
  <si>
    <t xml:space="preserve">Focale</t>
  </si>
  <si>
    <t xml:space="preserve">Type</t>
  </si>
  <si>
    <t xml:space="preserve">Ech.
("/pixel)</t>
  </si>
  <si>
    <t xml:space="preserve">Echantillonnage idéal</t>
  </si>
  <si>
    <t xml:space="preserve">Echantillonnage actuel</t>
  </si>
  <si>
    <t xml:space="preserve">F/D</t>
  </si>
  <si>
    <t xml:space="preserve">Résolution</t>
  </si>
  <si>
    <t xml:space="preserve">Photosites</t>
  </si>
  <si>
    <t xml:space="preserve">L (mm)</t>
  </si>
  <si>
    <t xml:space="preserve">H (mm)</t>
  </si>
  <si>
    <t xml:space="preserve">Mégapixels</t>
  </si>
  <si>
    <t xml:space="preserve">Cadence</t>
  </si>
  <si>
    <t xml:space="preserve">Dynamique réelle</t>
  </si>
  <si>
    <t xml:space="preserve">Tube optique, capteur et longueur d'onde non référencés</t>
  </si>
  <si>
    <t xml:space="preserve">Numérisation</t>
  </si>
  <si>
    <t xml:space="preserve">Bruit de lecture</t>
  </si>
  <si>
    <t xml:space="preserve">Courant d'obscurité</t>
  </si>
  <si>
    <t xml:space="preserve">λ (nm)</t>
  </si>
  <si>
    <t xml:space="preserve">Temps de chargement</t>
  </si>
  <si>
    <t xml:space="preserve">Ø (mm)</t>
  </si>
  <si>
    <t xml:space="preserve">F (mm)</t>
  </si>
  <si>
    <t xml:space="preserve">Pixels (µm)</t>
  </si>
  <si>
    <t xml:space="preserve">Capacité des pixels</t>
  </si>
  <si>
    <t xml:space="preserve">Refroidissement</t>
  </si>
  <si>
    <t xml:space="preserve">Mode d'emploi :</t>
  </si>
  <si>
    <r>
      <rPr>
        <sz val="10"/>
        <rFont val="Arial"/>
        <family val="2"/>
      </rPr>
      <t xml:space="preserve">1) Sélectionner </t>
    </r>
    <r>
      <rPr>
        <b val="true"/>
        <sz val="10"/>
        <rFont val="Arial"/>
        <family val="0"/>
      </rPr>
      <t xml:space="preserve">Marque</t>
    </r>
    <r>
      <rPr>
        <sz val="10"/>
        <rFont val="Arial"/>
        <family val="0"/>
      </rPr>
      <t xml:space="preserve"> et </t>
    </r>
    <r>
      <rPr>
        <b val="true"/>
        <sz val="10"/>
        <rFont val="Arial"/>
        <family val="0"/>
      </rPr>
      <t xml:space="preserve">Modèle</t>
    </r>
    <r>
      <rPr>
        <sz val="10"/>
        <rFont val="Arial"/>
        <family val="0"/>
      </rPr>
      <t xml:space="preserve"> de tube optique et d'imageur au moyen des menus déroulants (cliquer dans les cases idoines pour que les ascenceurs apparaissent).</t>
    </r>
  </si>
  <si>
    <r>
      <rPr>
        <sz val="10"/>
        <rFont val="Arial"/>
        <family val="2"/>
      </rPr>
      <t xml:space="preserve">2) Dans la case "</t>
    </r>
    <r>
      <rPr>
        <b val="true"/>
        <sz val="10"/>
        <rFont val="Arial"/>
        <family val="0"/>
      </rPr>
      <t xml:space="preserve">Barlow - Réducteur</t>
    </r>
    <r>
      <rPr>
        <sz val="10"/>
        <rFont val="Arial"/>
        <family val="0"/>
      </rPr>
      <t xml:space="preserve">", saisir au clavier la valeur du coefficient qui va bien (mettre 1 si aucun complément optique n'est utilisé).</t>
    </r>
  </si>
  <si>
    <t xml:space="preserve">3) Sélectionner la longueur d'onde de la lumière utilisée.</t>
  </si>
  <si>
    <r>
      <rPr>
        <sz val="10"/>
        <color rgb="FFFFFFFF"/>
        <rFont val="Arial"/>
        <family val="2"/>
      </rPr>
      <t xml:space="preserve">3) </t>
    </r>
    <r>
      <rPr>
        <sz val="10"/>
        <rFont val="Arial"/>
        <family val="0"/>
      </rPr>
      <t xml:space="preserve">La valeur généralement prise par défaut est le vert à 550 nm. En cas d'utilisation de filtres colorés, sélectionner la longueur d'onde idoine. L'utilisateur peut aussi choisir une longueur d'ondeUn valeur utilisateur peut être utilisée (rensieigner la case D29)</t>
    </r>
  </si>
  <si>
    <r>
      <rPr>
        <sz val="10"/>
        <color rgb="FFFFFFFF"/>
        <rFont val="Arial"/>
        <family val="2"/>
      </rPr>
      <t xml:space="preserve">3) </t>
    </r>
    <r>
      <rPr>
        <sz val="10"/>
        <rFont val="Arial"/>
        <family val="0"/>
      </rPr>
      <t xml:space="preserve">La résolution de l'instrument et l'amplitude de la turbulence dépendent de ce paramètre.</t>
    </r>
  </si>
  <si>
    <r>
      <rPr>
        <sz val="10"/>
        <rFont val="Arial"/>
        <family val="2"/>
      </rPr>
      <t xml:space="preserve">4) Dans la case "</t>
    </r>
    <r>
      <rPr>
        <b val="true"/>
        <sz val="10"/>
        <rFont val="Arial"/>
        <family val="0"/>
      </rPr>
      <t xml:space="preserve">Turbulence</t>
    </r>
    <r>
      <rPr>
        <sz val="10"/>
        <rFont val="Arial"/>
        <family val="0"/>
      </rPr>
      <t xml:space="preserve">", saisir la valeur correspondant à l'amplitude de la turbulence intégrée sur la durée de la pose </t>
    </r>
    <r>
      <rPr>
        <sz val="10"/>
        <color rgb="FF969696"/>
        <rFont val="Arial"/>
        <family val="0"/>
      </rPr>
      <t xml:space="preserve">(dépend du lieu et des conditions atmosphérique du moment)</t>
    </r>
    <r>
      <rPr>
        <sz val="10"/>
        <rFont val="Arial"/>
        <family val="0"/>
      </rPr>
      <t xml:space="preserve"> :</t>
    </r>
  </si>
  <si>
    <r>
      <rPr>
        <sz val="10"/>
        <rFont val="Arial"/>
        <family val="2"/>
      </rPr>
      <t xml:space="preserve">Imagerie planétaire : amplitude typiquement comprise entre 0,5" et 2" sur un temps de pose généralement inférieur à 0,1 s</t>
    </r>
    <r>
      <rPr>
        <sz val="10"/>
        <color rgb="FF969696"/>
        <rFont val="Arial"/>
        <family val="0"/>
      </rPr>
      <t xml:space="preserve"> (cadence &gt; 10 images/s).</t>
    </r>
  </si>
  <si>
    <t xml:space="preserve">Imagerie du ciel profond : amplitude typiquement comprise entre 2" et 4" sur des poses de quelques minutes.</t>
  </si>
  <si>
    <t xml:space="preserve">Le calcul de l'échantillonnage idéal est fait en appliquant le théorème d'échantillonnage de Nyquist-Shannon à partir du paramètre limitant (résolution instrumentale ou turbulence).</t>
  </si>
  <si>
    <r>
      <rPr>
        <sz val="10"/>
        <rFont val="Arial"/>
        <family val="2"/>
      </rPr>
      <t xml:space="preserve">Le calcul de l'échantillonnage apparaît en vert s'il est correct ou en rouge dans le cas contraire, et se fait à partir de la focale résultante de l'instrument</t>
    </r>
    <r>
      <rPr>
        <sz val="10"/>
        <color rgb="FF969696"/>
        <rFont val="Arial"/>
        <family val="0"/>
      </rPr>
      <t xml:space="preserve"> (prend en compte la valeur du champ "Barlow - Réducteur").</t>
    </r>
  </si>
  <si>
    <t xml:space="preserve">Si l'instrument souhaité n'apparaît pas dans les menus déroulants, alors sélectionner "Autre_Optique" + "Valeurs utilisateur" et saisir les valeurs idoine dans la section "Tube optique, capteur et longueur d'onde non référencés".</t>
  </si>
  <si>
    <t xml:space="preserve">Si l'imageur souhaité n'apparaît pas dans les menus déroulants, alors sélectionner "Autre_Imageur" + "Valeurs utilisateur" et saisir les valeurs idoine dans la section "Tube optique, capteur et longueur d'onde non référencés".</t>
  </si>
  <si>
    <t xml:space="preserve">Si la longueur d'onde souhaitée n'apparaît pas dans le menu déroulant, alors sélectionner "Valeur utilisateur" et saisir la valeur idoine dans la section "Tube optique, capteur et longueur d'onde non référencés".</t>
  </si>
  <si>
    <t xml:space="preserve">Il est aussi possible de voir quelle taille (en pixels) fera l'objet imagé sur le capteur en renseignant les cellules "Taille de l'objet" en bleu.</t>
  </si>
  <si>
    <t xml:space="preserve">Choix couleur</t>
  </si>
  <si>
    <t xml:space="preserve">Liste des marques</t>
  </si>
  <si>
    <t xml:space="preserve">10N-OK3</t>
  </si>
  <si>
    <t xml:space="preserve">Astrophysics</t>
  </si>
  <si>
    <t xml:space="preserve">12N-OK3</t>
  </si>
  <si>
    <t xml:space="preserve">Astro_Tech</t>
  </si>
  <si>
    <t xml:space="preserve">16N-OK3</t>
  </si>
  <si>
    <t xml:space="preserve">Canon_Objectifs</t>
  </si>
  <si>
    <t xml:space="preserve">20N-OK3</t>
  </si>
  <si>
    <t xml:space="preserve">Celestron</t>
  </si>
  <si>
    <t xml:space="preserve">160-EDF</t>
  </si>
  <si>
    <t xml:space="preserve">GSO</t>
  </si>
  <si>
    <t xml:space="preserve">140-EDF</t>
  </si>
  <si>
    <t xml:space="preserve">Meade</t>
  </si>
  <si>
    <t xml:space="preserve">130-EDF "Gran Turismo"</t>
  </si>
  <si>
    <t xml:space="preserve">Officina_Stellare</t>
  </si>
  <si>
    <t xml:space="preserve">155-EDT</t>
  </si>
  <si>
    <t xml:space="preserve">Orion</t>
  </si>
  <si>
    <t xml:space="preserve">155-EDF</t>
  </si>
  <si>
    <t xml:space="preserve">Skywatcher</t>
  </si>
  <si>
    <t xml:space="preserve">130-EDFS</t>
  </si>
  <si>
    <t xml:space="preserve">Valeur utilisateur</t>
  </si>
  <si>
    <t xml:space="preserve">Takahashi</t>
  </si>
  <si>
    <t xml:space="preserve">130-EDT</t>
  </si>
  <si>
    <t xml:space="preserve">TEC</t>
  </si>
  <si>
    <t xml:space="preserve">105-EDFS "Traveller"</t>
  </si>
  <si>
    <t xml:space="preserve">Televue</t>
  </si>
  <si>
    <t xml:space="preserve">Riccardi-Honders-305mm</t>
  </si>
  <si>
    <t xml:space="preserve">TMB</t>
  </si>
  <si>
    <t xml:space="preserve">Atro-Tech</t>
  </si>
  <si>
    <t xml:space="preserve">AT65EDQ</t>
  </si>
  <si>
    <t xml:space="preserve">Vixen</t>
  </si>
  <si>
    <t xml:space="preserve">AT72ED</t>
  </si>
  <si>
    <t xml:space="preserve">William_Optics</t>
  </si>
  <si>
    <t xml:space="preserve">AT80LE</t>
  </si>
  <si>
    <t xml:space="preserve">Autre_Optique</t>
  </si>
  <si>
    <t xml:space="preserve">AT90EDT</t>
  </si>
  <si>
    <t xml:space="preserve">AT106</t>
  </si>
  <si>
    <t xml:space="preserve">AT111EDT</t>
  </si>
  <si>
    <t xml:space="preserve">AT130</t>
  </si>
  <si>
    <t xml:space="preserve">RC 6"</t>
  </si>
  <si>
    <t xml:space="preserve">RC 8"</t>
  </si>
  <si>
    <t xml:space="preserve">RC 10"</t>
  </si>
  <si>
    <t xml:space="preserve">ONYX 80ED</t>
  </si>
  <si>
    <t xml:space="preserve">C8</t>
  </si>
  <si>
    <t xml:space="preserve">C9</t>
  </si>
  <si>
    <t xml:space="preserve">C11</t>
  </si>
  <si>
    <t xml:space="preserve">C14</t>
  </si>
  <si>
    <t xml:space="preserve">RC 12"</t>
  </si>
  <si>
    <t xml:space="preserve">LX200-8"</t>
  </si>
  <si>
    <t xml:space="preserve">LX200-10"</t>
  </si>
  <si>
    <t xml:space="preserve">LX200-12"</t>
  </si>
  <si>
    <t xml:space="preserve">LX200-14"</t>
  </si>
  <si>
    <t xml:space="preserve">LX200-16"</t>
  </si>
  <si>
    <t xml:space="preserve">LX90-8"</t>
  </si>
  <si>
    <t xml:space="preserve">LX90-10"</t>
  </si>
  <si>
    <t xml:space="preserve">LX90-12"</t>
  </si>
  <si>
    <t xml:space="preserve">Officina Stellare</t>
  </si>
  <si>
    <t xml:space="preserve">HIPER APO 80</t>
  </si>
  <si>
    <t xml:space="preserve">HIPER APO 105</t>
  </si>
  <si>
    <t xml:space="preserve">HIPER APO 115</t>
  </si>
  <si>
    <t xml:space="preserve">HIPER APO 130</t>
  </si>
  <si>
    <t xml:space="preserve">HIPER APO 152</t>
  </si>
  <si>
    <t xml:space="preserve">HIPER APO 180</t>
  </si>
  <si>
    <t xml:space="preserve">ULTRA CRC 320 ST</t>
  </si>
  <si>
    <t xml:space="preserve">VELOCE RH 200</t>
  </si>
  <si>
    <t xml:space="preserve">VELOCE RH 300</t>
  </si>
  <si>
    <t xml:space="preserve">SUPREMO 250</t>
  </si>
  <si>
    <t xml:space="preserve">PRO RC 250</t>
  </si>
  <si>
    <t xml:space="preserve">PRO RC 320 ST</t>
  </si>
  <si>
    <t xml:space="preserve">PRO RC 400 LT/ST</t>
  </si>
  <si>
    <t xml:space="preserve">PRO RC 360 LT/ST</t>
  </si>
  <si>
    <t xml:space="preserve">80-ED</t>
  </si>
  <si>
    <t xml:space="preserve">ED-80T</t>
  </si>
  <si>
    <t xml:space="preserve">100-ED</t>
  </si>
  <si>
    <t xml:space="preserve">ED-102T</t>
  </si>
  <si>
    <t xml:space="preserve">10" F/3.9</t>
  </si>
  <si>
    <t xml:space="preserve">Mak-90</t>
  </si>
  <si>
    <t xml:space="preserve">Mak-102</t>
  </si>
  <si>
    <t xml:space="preserve">Mak-127</t>
  </si>
  <si>
    <t xml:space="preserve">Mak-150</t>
  </si>
  <si>
    <t xml:space="preserve">EVO72ED</t>
  </si>
  <si>
    <t xml:space="preserve">EVO80ED</t>
  </si>
  <si>
    <t xml:space="preserve">EVO120ED</t>
  </si>
  <si>
    <t xml:space="preserve">FS-60</t>
  </si>
  <si>
    <t xml:space="preserve">Sky 90</t>
  </si>
  <si>
    <t xml:space="preserve">FS-102</t>
  </si>
  <si>
    <t xml:space="preserve">FS-128</t>
  </si>
  <si>
    <t xml:space="preserve">FS-152</t>
  </si>
  <si>
    <t xml:space="preserve">FSQ-85</t>
  </si>
  <si>
    <t xml:space="preserve">FSQ-106</t>
  </si>
  <si>
    <t xml:space="preserve">TSA-102</t>
  </si>
  <si>
    <t xml:space="preserve">TSA-120</t>
  </si>
  <si>
    <t xml:space="preserve">TOA-130</t>
  </si>
  <si>
    <t xml:space="preserve">TOA-150</t>
  </si>
  <si>
    <t xml:space="preserve">ε-130</t>
  </si>
  <si>
    <t xml:space="preserve">ε-160</t>
  </si>
  <si>
    <t xml:space="preserve">ε-180</t>
  </si>
  <si>
    <t xml:space="preserve">ε-200</t>
  </si>
  <si>
    <t xml:space="preserve">ε-210</t>
  </si>
  <si>
    <t xml:space="preserve">ε-250</t>
  </si>
  <si>
    <t xml:space="preserve">ε-300</t>
  </si>
  <si>
    <t xml:space="preserve">ε-350</t>
  </si>
  <si>
    <t xml:space="preserve">Mewlon 180</t>
  </si>
  <si>
    <t xml:space="preserve">Mewlon 210</t>
  </si>
  <si>
    <t xml:space="preserve">Mewlon 250</t>
  </si>
  <si>
    <t xml:space="preserve">Mewlon 300</t>
  </si>
  <si>
    <t xml:space="preserve">BRC-250</t>
  </si>
  <si>
    <t xml:space="preserve">CN-212</t>
  </si>
  <si>
    <t xml:space="preserve">140-ED</t>
  </si>
  <si>
    <t xml:space="preserve">160-ED</t>
  </si>
  <si>
    <t xml:space="preserve">160-Fluorite</t>
  </si>
  <si>
    <t xml:space="preserve">180-Fluorite</t>
  </si>
  <si>
    <t xml:space="preserve">TV 60 / TV 60is</t>
  </si>
  <si>
    <t xml:space="preserve">TV 76</t>
  </si>
  <si>
    <t xml:space="preserve">TV 85</t>
  </si>
  <si>
    <t xml:space="preserve">TV 102 / TV 102is</t>
  </si>
  <si>
    <t xml:space="preserve">TV NP-101 / TV NP-101is</t>
  </si>
  <si>
    <t xml:space="preserve">TV NP127is</t>
  </si>
  <si>
    <t xml:space="preserve">80SS</t>
  </si>
  <si>
    <t xml:space="preserve">92SS</t>
  </si>
  <si>
    <t xml:space="preserve">130SS</t>
  </si>
  <si>
    <t xml:space="preserve">ED80Sf</t>
  </si>
  <si>
    <t xml:space="preserve">ED81SWT</t>
  </si>
  <si>
    <t xml:space="preserve">ED100Sf</t>
  </si>
  <si>
    <t xml:space="preserve">ED103S</t>
  </si>
  <si>
    <t xml:space="preserve">ED115S</t>
  </si>
  <si>
    <t xml:space="preserve">NA140</t>
  </si>
  <si>
    <t xml:space="preserve">R130SF</t>
  </si>
  <si>
    <t xml:space="preserve">R200SS</t>
  </si>
  <si>
    <t xml:space="preserve">VMC95L</t>
  </si>
  <si>
    <t xml:space="preserve">VMC110L</t>
  </si>
  <si>
    <t xml:space="preserve">VMC200L</t>
  </si>
  <si>
    <t xml:space="preserve">VC200L</t>
  </si>
  <si>
    <t xml:space="preserve">VMC260L</t>
  </si>
  <si>
    <t xml:space="preserve">VMC330L</t>
  </si>
  <si>
    <t xml:space="preserve">William Optics</t>
  </si>
  <si>
    <t xml:space="preserve">Megrez 72</t>
  </si>
  <si>
    <t xml:space="preserve">Zenithstar 80 APO</t>
  </si>
  <si>
    <t xml:space="preserve">Triplet APO 80/480</t>
  </si>
  <si>
    <t xml:space="preserve">Megrez 90 APO</t>
  </si>
  <si>
    <t xml:space="preserve">FLT98 APO</t>
  </si>
  <si>
    <t xml:space="preserve">FLT110 (Optique TMB)</t>
  </si>
  <si>
    <t xml:space="preserve">Megrez 120</t>
  </si>
  <si>
    <t xml:space="preserve">FLT 132</t>
  </si>
  <si>
    <t xml:space="preserve">300:4</t>
  </si>
  <si>
    <t xml:space="preserve">200:2,8</t>
  </si>
  <si>
    <t xml:space="preserve">100:2,9</t>
  </si>
  <si>
    <t xml:space="preserve">24-70:2,8 (24)</t>
  </si>
  <si>
    <t xml:space="preserve">24-70:2,8 (70)</t>
  </si>
  <si>
    <t xml:space="preserve">Autre Optique</t>
  </si>
  <si>
    <t xml:space="preserve">Valeurs utilisateur</t>
  </si>
  <si>
    <t xml:space="preserve">Largeur (mm)</t>
  </si>
  <si>
    <t xml:space="preserve">Hauteur (mm)</t>
  </si>
  <si>
    <t xml:space="preserve">Largeur (pixels)</t>
  </si>
  <si>
    <t xml:space="preserve">Hauteur (pixels)</t>
  </si>
  <si>
    <t xml:space="preserve">Photosites (µm)</t>
  </si>
  <si>
    <t xml:space="preserve">Cadence (im/s)</t>
  </si>
  <si>
    <t xml:space="preserve">Dynamique</t>
  </si>
  <si>
    <t xml:space="preserve">Numérisation (bits)</t>
  </si>
  <si>
    <t xml:space="preserve">Courant d'obscurité à 0°C</t>
  </si>
  <si>
    <t xml:space="preserve">Temps de chargement d'une image</t>
  </si>
  <si>
    <t xml:space="preserve">ATIK</t>
  </si>
  <si>
    <t xml:space="preserve">314L</t>
  </si>
  <si>
    <t xml:space="preserve">Sony ICX285AL</t>
  </si>
  <si>
    <t xml:space="preserve">CCD</t>
  </si>
  <si>
    <t xml:space="preserve">4 e- rms</t>
  </si>
  <si>
    <t xml:space="preserve">ΔT - 25°C</t>
  </si>
  <si>
    <t xml:space="preserve">320E</t>
  </si>
  <si>
    <t xml:space="preserve">Sony ICX274AL</t>
  </si>
  <si>
    <t xml:space="preserve">3 e- rms</t>
  </si>
  <si>
    <t xml:space="preserve">Basler</t>
  </si>
  <si>
    <t xml:space="preserve">383L+</t>
  </si>
  <si>
    <t xml:space="preserve">Kodak KAF-8300</t>
  </si>
  <si>
    <t xml:space="preserve">7 e- rms</t>
  </si>
  <si>
    <t xml:space="preserve">ΔT -40°C</t>
  </si>
  <si>
    <t xml:space="preserve">Canon</t>
  </si>
  <si>
    <t xml:space="preserve">Kodak KAI-4022</t>
  </si>
  <si>
    <t xml:space="preserve">11 e- rms</t>
  </si>
  <si>
    <t xml:space="preserve">0,01 e-/s à -20°C</t>
  </si>
  <si>
    <t xml:space="preserve">40000 e-</t>
  </si>
  <si>
    <t xml:space="preserve">Lumenera</t>
  </si>
  <si>
    <t xml:space="preserve">460EX</t>
  </si>
  <si>
    <t xml:space="preserve">Sony ICX694/5</t>
  </si>
  <si>
    <t xml:space="preserve">5 e-rms</t>
  </si>
  <si>
    <t xml:space="preserve">0,0004 e/s à -10°C</t>
  </si>
  <si>
    <t xml:space="preserve">ΔT -25°C</t>
  </si>
  <si>
    <t xml:space="preserve">Nikon</t>
  </si>
  <si>
    <t xml:space="preserve">Kodak KAI 11002</t>
  </si>
  <si>
    <t xml:space="preserve">13 e- rms</t>
  </si>
  <si>
    <t xml:space="preserve">0,03 e-/s à -20°C</t>
  </si>
  <si>
    <t xml:space="preserve">60000 e-</t>
  </si>
  <si>
    <t xml:space="preserve">ΔT -38°C</t>
  </si>
  <si>
    <t xml:space="preserve">Titan</t>
  </si>
  <si>
    <t xml:space="preserve">Sony ICX424</t>
  </si>
  <si>
    <t xml:space="preserve">ΔT - 20°C</t>
  </si>
  <si>
    <t xml:space="preserve">QSI</t>
  </si>
  <si>
    <t xml:space="preserve">acA640-100gm</t>
  </si>
  <si>
    <t xml:space="preserve">Sony ICX618</t>
  </si>
  <si>
    <t xml:space="preserve">102 / 122</t>
  </si>
  <si>
    <t xml:space="preserve">10,6 bits</t>
  </si>
  <si>
    <t xml:space="preserve">8 ou 12</t>
  </si>
  <si>
    <t xml:space="preserve">SBIG</t>
  </si>
  <si>
    <t xml:space="preserve">acA1300-30gm</t>
  </si>
  <si>
    <t xml:space="preserve">Sony ICX445</t>
  </si>
  <si>
    <t xml:space="preserve">9,5 bits</t>
  </si>
  <si>
    <t xml:space="preserve">9 ou 12</t>
  </si>
  <si>
    <t xml:space="preserve">Starlight_Xpress</t>
  </si>
  <si>
    <t xml:space="preserve">acA1600-20gm</t>
  </si>
  <si>
    <t xml:space="preserve">Sony ICX274</t>
  </si>
  <si>
    <t xml:space="preserve">10,1 bits</t>
  </si>
  <si>
    <t xml:space="preserve">10 ou 12</t>
  </si>
  <si>
    <t xml:space="preserve">The_Imaging_Source</t>
  </si>
  <si>
    <t xml:space="preserve">EOS 1000D</t>
  </si>
  <si>
    <t xml:space="preserve">CMOS</t>
  </si>
  <si>
    <t xml:space="preserve">ZWO</t>
  </si>
  <si>
    <t xml:space="preserve">EOS 1100D</t>
  </si>
  <si>
    <t xml:space="preserve">EOS 300D</t>
  </si>
  <si>
    <t xml:space="preserve">EOS 350D</t>
  </si>
  <si>
    <t xml:space="preserve">EOS 400D</t>
  </si>
  <si>
    <t xml:space="preserve">EOS 450D</t>
  </si>
  <si>
    <t xml:space="preserve">EOS 500D</t>
  </si>
  <si>
    <t xml:space="preserve">EOS 550D</t>
  </si>
  <si>
    <t xml:space="preserve">EOS 600D</t>
  </si>
  <si>
    <t xml:space="preserve">EOS 10D</t>
  </si>
  <si>
    <t xml:space="preserve">EOS 20D</t>
  </si>
  <si>
    <t xml:space="preserve">EOS 30D</t>
  </si>
  <si>
    <t xml:space="preserve">EOS 40D</t>
  </si>
  <si>
    <t xml:space="preserve">EOS 50D</t>
  </si>
  <si>
    <t xml:space="preserve">EOS 60D</t>
  </si>
  <si>
    <t xml:space="preserve">EOS 7D</t>
  </si>
  <si>
    <t xml:space="preserve">EOS 5D</t>
  </si>
  <si>
    <t xml:space="preserve">EOS 5D MkII</t>
  </si>
  <si>
    <t xml:space="preserve">EOS 1D</t>
  </si>
  <si>
    <t xml:space="preserve">EOS 1D MkII</t>
  </si>
  <si>
    <t xml:space="preserve">EOS 1D MkIII</t>
  </si>
  <si>
    <t xml:space="preserve">EOS 1D MkIV</t>
  </si>
  <si>
    <t xml:space="preserve">EOS 1Ds</t>
  </si>
  <si>
    <t xml:space="preserve">EOS 1Ds MkII</t>
  </si>
  <si>
    <t xml:space="preserve">EOS 1Ds MkIII</t>
  </si>
  <si>
    <t xml:space="preserve">SKYnyx 2,0</t>
  </si>
  <si>
    <t xml:space="preserve">SKYnyx 2,1</t>
  </si>
  <si>
    <t xml:space="preserve">Sony ICX205</t>
  </si>
  <si>
    <t xml:space="preserve">SKYnyx 2,2</t>
  </si>
  <si>
    <t xml:space="preserve">D40</t>
  </si>
  <si>
    <t xml:space="preserve">D40X</t>
  </si>
  <si>
    <t xml:space="preserve">D3000</t>
  </si>
  <si>
    <t xml:space="preserve">D3100</t>
  </si>
  <si>
    <t xml:space="preserve">D50</t>
  </si>
  <si>
    <t xml:space="preserve">D60</t>
  </si>
  <si>
    <t xml:space="preserve">D5000</t>
  </si>
  <si>
    <t xml:space="preserve">D5100</t>
  </si>
  <si>
    <t xml:space="preserve">D70 / D70s</t>
  </si>
  <si>
    <t xml:space="preserve">D80</t>
  </si>
  <si>
    <t xml:space="preserve">D90</t>
  </si>
  <si>
    <t xml:space="preserve">D7000</t>
  </si>
  <si>
    <t xml:space="preserve">D100</t>
  </si>
  <si>
    <t xml:space="preserve">D200</t>
  </si>
  <si>
    <t xml:space="preserve">D300 / D300s</t>
  </si>
  <si>
    <t xml:space="preserve">D700</t>
  </si>
  <si>
    <t xml:space="preserve">D1H</t>
  </si>
  <si>
    <t xml:space="preserve">D2H / D2Hs</t>
  </si>
  <si>
    <t xml:space="preserve">LBCAST</t>
  </si>
  <si>
    <t xml:space="preserve">D3 / D3S</t>
  </si>
  <si>
    <t xml:space="preserve">D1</t>
  </si>
  <si>
    <t xml:space="preserve">D1x</t>
  </si>
  <si>
    <t xml:space="preserve">D2x / D2Xs</t>
  </si>
  <si>
    <t xml:space="preserve">Sony</t>
  </si>
  <si>
    <t xml:space="preserve">D3X</t>
  </si>
  <si>
    <t xml:space="preserve">70 dB</t>
  </si>
  <si>
    <t xml:space="preserve">8 e-</t>
  </si>
  <si>
    <t xml:space="preserve">0,02 e-/s à -10°C</t>
  </si>
  <si>
    <t xml:space="preserve">&lt; 21 s</t>
  </si>
  <si>
    <t xml:space="preserve">25500 e-</t>
  </si>
  <si>
    <t xml:space="preserve">ΔT - 38°C</t>
  </si>
  <si>
    <t xml:space="preserve">74 dB</t>
  </si>
  <si>
    <t xml:space="preserve">&lt; 8 e-</t>
  </si>
  <si>
    <t xml:space="preserve">0,1 e-/s à 0°C</t>
  </si>
  <si>
    <t xml:space="preserve">&lt; 11 s</t>
  </si>
  <si>
    <t xml:space="preserve">Kodak KAF-3200</t>
  </si>
  <si>
    <t xml:space="preserve">77 dB</t>
  </si>
  <si>
    <t xml:space="preserve">7 e-</t>
  </si>
  <si>
    <t xml:space="preserve">0,5 e-/s à 0°C</t>
  </si>
  <si>
    <t xml:space="preserve">&lt; 8 s</t>
  </si>
  <si>
    <t xml:space="preserve">55000 e-</t>
  </si>
  <si>
    <t xml:space="preserve">Kodak KAI-2020</t>
  </si>
  <si>
    <t xml:space="preserve">&lt; 5 s</t>
  </si>
  <si>
    <t xml:space="preserve">45000 e-</t>
  </si>
  <si>
    <t xml:space="preserve">Kodak KAF-1603</t>
  </si>
  <si>
    <t xml:space="preserve">76 dB</t>
  </si>
  <si>
    <t xml:space="preserve">15 e-</t>
  </si>
  <si>
    <t xml:space="preserve">1 e-/s à 0°C</t>
  </si>
  <si>
    <t xml:space="preserve">&lt; 4 s</t>
  </si>
  <si>
    <t xml:space="preserve">100000 e-</t>
  </si>
  <si>
    <t xml:space="preserve">Kodak KAF-0402</t>
  </si>
  <si>
    <t xml:space="preserve">&lt; 1 s</t>
  </si>
  <si>
    <t xml:space="preserve">ST-402</t>
  </si>
  <si>
    <t xml:space="preserve">Kodak KAF-0402ME</t>
  </si>
  <si>
    <t xml:space="preserve">17 e-</t>
  </si>
  <si>
    <t xml:space="preserve">1 e-/s  à 0°C</t>
  </si>
  <si>
    <t xml:space="preserve">&lt; 1 s </t>
  </si>
  <si>
    <t xml:space="preserve">ΔT -35°C</t>
  </si>
  <si>
    <t xml:space="preserve">ST-7</t>
  </si>
  <si>
    <t xml:space="preserve">15e-</t>
  </si>
  <si>
    <t xml:space="preserve">1 s. </t>
  </si>
  <si>
    <t xml:space="preserve">ST-8</t>
  </si>
  <si>
    <t xml:space="preserve">Kodak KAF-1603ME</t>
  </si>
  <si>
    <t xml:space="preserve">4 s. </t>
  </si>
  <si>
    <t xml:space="preserve">ST-9</t>
  </si>
  <si>
    <t xml:space="preserve">Kodak KAF-0261E</t>
  </si>
  <si>
    <t xml:space="preserve">5 e-/s  à 0°C</t>
  </si>
  <si>
    <t xml:space="preserve">&lt; 1 s. </t>
  </si>
  <si>
    <t xml:space="preserve">ST-10</t>
  </si>
  <si>
    <t xml:space="preserve">Kodak KAF-3200ME</t>
  </si>
  <si>
    <t xml:space="preserve">8.8 e-</t>
  </si>
  <si>
    <t xml:space="preserve">8 s. </t>
  </si>
  <si>
    <t xml:space="preserve">ST-1603</t>
  </si>
  <si>
    <t xml:space="preserve">2 s. </t>
  </si>
  <si>
    <t xml:space="preserve">ST-2000</t>
  </si>
  <si>
    <t xml:space="preserve">Kodak KAI-2020M</t>
  </si>
  <si>
    <t xml:space="preserve">7.9 e-</t>
  </si>
  <si>
    <t xml:space="preserve">0.3 e-/s  à 0°C</t>
  </si>
  <si>
    <t xml:space="preserve">4.5 s. </t>
  </si>
  <si>
    <t xml:space="preserve">ST-3200</t>
  </si>
  <si>
    <t xml:space="preserve">10 e-</t>
  </si>
  <si>
    <t xml:space="preserve">ST-8300</t>
  </si>
  <si>
    <t xml:space="preserve">9.3 e-</t>
  </si>
  <si>
    <t xml:space="preserve">7.5 s. </t>
  </si>
  <si>
    <t xml:space="preserve">STL-1001</t>
  </si>
  <si>
    <t xml:space="preserve">Kodak KAF-1001E</t>
  </si>
  <si>
    <t xml:space="preserve">15 e- </t>
  </si>
  <si>
    <t xml:space="preserve">9 e-/s  à 0°C</t>
  </si>
  <si>
    <t xml:space="preserve">2.5 s. </t>
  </si>
  <si>
    <t xml:space="preserve">ΔT -32°C</t>
  </si>
  <si>
    <t xml:space="preserve">STL-11000</t>
  </si>
  <si>
    <t xml:space="preserve">Kodak KAI-11002M</t>
  </si>
  <si>
    <t xml:space="preserve">13 e-</t>
  </si>
  <si>
    <t xml:space="preserve">0.5 e-/s  à 0°C</t>
  </si>
  <si>
    <t xml:space="preserve">26 s. </t>
  </si>
  <si>
    <t xml:space="preserve">STL-4020</t>
  </si>
  <si>
    <t xml:space="preserve">Kodak KAI-4022M</t>
  </si>
  <si>
    <t xml:space="preserve">0.07 e-/s  à 0°C</t>
  </si>
  <si>
    <t xml:space="preserve">10 s. </t>
  </si>
  <si>
    <t xml:space="preserve">STL-6303</t>
  </si>
  <si>
    <t xml:space="preserve">Kodak KAF-6303E</t>
  </si>
  <si>
    <t xml:space="preserve">13.5 e-</t>
  </si>
  <si>
    <t xml:space="preserve">16 s. </t>
  </si>
  <si>
    <t xml:space="preserve">STX-16803</t>
  </si>
  <si>
    <t xml:space="preserve">Kodak KAF-16803</t>
  </si>
  <si>
    <t xml:space="preserve">9 e-</t>
  </si>
  <si>
    <t xml:space="preserve">0.2 e-/s  à 0°C</t>
  </si>
  <si>
    <t xml:space="preserve">11.5 s. </t>
  </si>
  <si>
    <t xml:space="preserve">ΔT -50°C</t>
  </si>
  <si>
    <t xml:space="preserve">STL Remote Guider</t>
  </si>
  <si>
    <t xml:space="preserve">Kodak TC-237H</t>
  </si>
  <si>
    <t xml:space="preserve">15 e-/s  à 0°C</t>
  </si>
  <si>
    <t xml:space="preserve">Nova-CCD</t>
  </si>
  <si>
    <t xml:space="preserve">Sigma-16</t>
  </si>
  <si>
    <t xml:space="preserve">Kodak KAF1603ME</t>
  </si>
  <si>
    <t xml:space="preserve">12 e-</t>
  </si>
  <si>
    <t xml:space="preserve">1,2 e-/s à 0°C</t>
  </si>
  <si>
    <t xml:space="preserve">3,9 s</t>
  </si>
  <si>
    <t xml:space="preserve">Sigma-32</t>
  </si>
  <si>
    <t xml:space="preserve">Kodak KAF3200ME</t>
  </si>
  <si>
    <t xml:space="preserve">0,8 e-/s à 0°C</t>
  </si>
  <si>
    <t xml:space="preserve">7,8 s</t>
  </si>
  <si>
    <t xml:space="preserve">Sigma-63</t>
  </si>
  <si>
    <t xml:space="preserve">Kodak KAF6303E</t>
  </si>
  <si>
    <t xml:space="preserve">1,0 e-/s à 0°C</t>
  </si>
  <si>
    <t xml:space="preserve">15 s</t>
  </si>
  <si>
    <t xml:space="preserve">Sigma-20</t>
  </si>
  <si>
    <t xml:space="preserve">Kodak KAI2020</t>
  </si>
  <si>
    <t xml:space="preserve">Sigma-40</t>
  </si>
  <si>
    <t xml:space="preserve">Kodak KAI4022</t>
  </si>
  <si>
    <t xml:space="preserve">Sigma-83</t>
  </si>
  <si>
    <t xml:space="preserve">Kodak KAF8300</t>
  </si>
  <si>
    <t xml:space="preserve">0,15 e-/s à 0°C</t>
  </si>
  <si>
    <t xml:space="preserve">20,2 s</t>
  </si>
  <si>
    <t xml:space="preserve">25000 e-</t>
  </si>
  <si>
    <t xml:space="preserve">Starlight Xpress</t>
  </si>
  <si>
    <t xml:space="preserve">SXVF-H5</t>
  </si>
  <si>
    <t xml:space="preserve">&lt; 13 e- rms</t>
  </si>
  <si>
    <t xml:space="preserve">0,02 e-/s à +10°C</t>
  </si>
  <si>
    <t xml:space="preserve">0,3 s</t>
  </si>
  <si>
    <t xml:space="preserve">30000 e-</t>
  </si>
  <si>
    <t xml:space="preserve">ΔT - 30°C</t>
  </si>
  <si>
    <t xml:space="preserve">SXVR-H9</t>
  </si>
  <si>
    <t xml:space="preserve">&lt; 7 e- rms</t>
  </si>
  <si>
    <t xml:space="preserve">0,6 s</t>
  </si>
  <si>
    <t xml:space="preserve">23000 e-</t>
  </si>
  <si>
    <t xml:space="preserve">SXV-H16</t>
  </si>
  <si>
    <t xml:space="preserve">Kodak KAI4021M</t>
  </si>
  <si>
    <t xml:space="preserve">&lt; 10 e- rms</t>
  </si>
  <si>
    <t xml:space="preserve">0,05 e-/s à +10°C</t>
  </si>
  <si>
    <t xml:space="preserve">2,5 s</t>
  </si>
  <si>
    <t xml:space="preserve">ΔT - 40°C</t>
  </si>
  <si>
    <t xml:space="preserve">SXVR-H18</t>
  </si>
  <si>
    <t xml:space="preserve">&lt; 8 e- rms</t>
  </si>
  <si>
    <t xml:space="preserve">4,5 s</t>
  </si>
  <si>
    <t xml:space="preserve">SXVF-H35</t>
  </si>
  <si>
    <t xml:space="preserve">&lt; 15 e- rms</t>
  </si>
  <si>
    <t xml:space="preserve">0,08 e-/s à +10°C</t>
  </si>
  <si>
    <t xml:space="preserve">7 s</t>
  </si>
  <si>
    <t xml:space="preserve">50000 e-</t>
  </si>
  <si>
    <t xml:space="preserve">SXVF-H36</t>
  </si>
  <si>
    <t xml:space="preserve">Kodak KAI-16000M</t>
  </si>
  <si>
    <t xml:space="preserve">&lt; 12 e- rms</t>
  </si>
  <si>
    <t xml:space="preserve">Loadstar</t>
  </si>
  <si>
    <t xml:space="preserve">Sony ICX429AL</t>
  </si>
  <si>
    <t xml:space="preserve">8,2×8,4</t>
  </si>
  <si>
    <t xml:space="preserve">0,1 e-/s à +10°C</t>
  </si>
  <si>
    <t xml:space="preserve">0,2 s</t>
  </si>
  <si>
    <t xml:space="preserve">The Imaginig Source</t>
  </si>
  <si>
    <t xml:space="preserve">DMK 21</t>
  </si>
  <si>
    <t xml:space="preserve">Sony ICX098</t>
  </si>
  <si>
    <t xml:space="preserve">DMK 31</t>
  </si>
  <si>
    <t xml:space="preserve">Sony ICX204</t>
  </si>
  <si>
    <t xml:space="preserve">DMK 41</t>
  </si>
  <si>
    <t xml:space="preserve">DMK 51</t>
  </si>
  <si>
    <t xml:space="preserve">QHY90A</t>
  </si>
  <si>
    <t xml:space="preserve">KAF8300</t>
  </si>
  <si>
    <t xml:space="preserve">16bit</t>
  </si>
  <si>
    <t xml:space="preserve">Typical 9 e-</t>
  </si>
  <si>
    <t xml:space="preserve"> </t>
  </si>
  <si>
    <t xml:space="preserve">QHY16200A</t>
  </si>
  <si>
    <t xml:space="preserve">KAF16200</t>
  </si>
  <si>
    <t xml:space="preserve">Typical 10 e</t>
  </si>
  <si>
    <t xml:space="preserve">QHY695A</t>
  </si>
  <si>
    <t xml:space="preserve">ICX695</t>
  </si>
  <si>
    <t xml:space="preserve">Typical 4 e-5e</t>
  </si>
  <si>
    <t xml:space="preserve">QHY16803A</t>
  </si>
  <si>
    <t xml:space="preserve">KAF16803</t>
  </si>
  <si>
    <t xml:space="preserve">Typical 10 .2 e-</t>
  </si>
  <si>
    <t xml:space="preserve">QHY09000A</t>
  </si>
  <si>
    <t xml:space="preserve">KAF09000</t>
  </si>
  <si>
    <t xml:space="preserve">QHY8L</t>
  </si>
  <si>
    <t xml:space="preserve"> ICX413AQ</t>
  </si>
  <si>
    <t xml:space="preserve">6-10 e- @ 600 Kpixel/s</t>
  </si>
  <si>
    <t xml:space="preserve">QHY10</t>
  </si>
  <si>
    <t xml:space="preserve">ICX493AQ</t>
  </si>
  <si>
    <t xml:space="preserve">8-10 e-   @600 Kpixel/s</t>
  </si>
  <si>
    <t xml:space="preserve">QHY12</t>
  </si>
  <si>
    <t xml:space="preserve">Sony Super HAD</t>
  </si>
  <si>
    <t xml:space="preserve">IMG2PRO</t>
  </si>
  <si>
    <t xml:space="preserve">ICX285</t>
  </si>
  <si>
    <t xml:space="preserve">6 e-   @600 Kpixel/s</t>
  </si>
  <si>
    <t xml:space="preserve">QHY9</t>
  </si>
  <si>
    <t xml:space="preserve">8e- to 10e-(Typic @1Mpixel/s)</t>
  </si>
  <si>
    <t xml:space="preserve">QHY11</t>
  </si>
  <si>
    <t xml:space="preserve">KAI11002</t>
  </si>
  <si>
    <t xml:space="preserve">12-14e</t>
  </si>
  <si>
    <t xml:space="preserve">QHY21</t>
  </si>
  <si>
    <t xml:space="preserve">ICX674</t>
  </si>
  <si>
    <t xml:space="preserve">5e- (Typical @1.25 Mpixel/s)</t>
  </si>
  <si>
    <t xml:space="preserve">QHY22</t>
  </si>
  <si>
    <t xml:space="preserve">ICX694</t>
  </si>
  <si>
    <t xml:space="preserve">QHY23</t>
  </si>
  <si>
    <t xml:space="preserve">ICX814</t>
  </si>
  <si>
    <t xml:space="preserve">QHY27</t>
  </si>
  <si>
    <t xml:space="preserve">KAI16050</t>
  </si>
  <si>
    <t xml:space="preserve">TBD</t>
  </si>
  <si>
    <t xml:space="preserve">QHY28</t>
  </si>
  <si>
    <t xml:space="preserve">KAI16070</t>
  </si>
  <si>
    <t xml:space="preserve">QHY29</t>
  </si>
  <si>
    <t xml:space="preserve">KAI29050</t>
  </si>
  <si>
    <t xml:space="preserve">IMX183 (BSI)</t>
  </si>
  <si>
    <t xml:space="preserve">15FPS@20.48 million pixels</t>
  </si>
  <si>
    <t xml:space="preserve">8bit/16bit</t>
  </si>
  <si>
    <t xml:space="preserve">2.7e@low gain 1.0e@high gain</t>
  </si>
  <si>
    <t xml:space="preserve">0.0024e/p/s @ -15C</t>
  </si>
  <si>
    <t xml:space="preserve">QHY163M/C</t>
  </si>
  <si>
    <t xml:space="preserve">22.5FPS@16mega Full Resolution</t>
  </si>
  <si>
    <t xml:space="preserve">8bit/12bit</t>
  </si>
  <si>
    <t xml:space="preserve">2.4e@low gain 1.0e@high gain</t>
  </si>
  <si>
    <t xml:space="preserve">QHY294C</t>
  </si>
  <si>
    <t xml:space="preserve">IMX294 (BSI)</t>
  </si>
  <si>
    <t xml:space="preserve">16.5FPS@11mp full resoluton 14bit</t>
  </si>
  <si>
    <t xml:space="preserve">8bit/14bit</t>
  </si>
  <si>
    <t xml:space="preserve">1.6-1.0e@HGC
6.8-4.2e@LGC</t>
  </si>
  <si>
    <t xml:space="preserve">0.005e/p/s @ -20C</t>
  </si>
  <si>
    <t xml:space="preserve">QHY168C</t>
  </si>
  <si>
    <t xml:space="preserve">IMX071</t>
  </si>
  <si>
    <t xml:space="preserve">10FPS@Full Reslution</t>
  </si>
  <si>
    <t xml:space="preserve">14bit/8bit</t>
  </si>
  <si>
    <t xml:space="preserve">3.2e-@Lowest Gain  2.3e-@High Analog Gain</t>
  </si>
  <si>
    <t xml:space="preserve">0.0007e/p/s @-15C</t>
  </si>
  <si>
    <t xml:space="preserve">QHY247C</t>
  </si>
  <si>
    <t xml:space="preserve">IMX193</t>
  </si>
  <si>
    <t xml:space="preserve">3FPS@Full Reslution</t>
  </si>
  <si>
    <t xml:space="preserve">2.7e@lowest gain  1.0e@high gain</t>
  </si>
  <si>
    <t xml:space="preserve">QHY128C</t>
  </si>
  <si>
    <t xml:space="preserve">IMX128</t>
  </si>
  <si>
    <t xml:space="preserve">5FPS@Full Reolusion</t>
  </si>
  <si>
    <t xml:space="preserve">14-bit</t>
  </si>
  <si>
    <t xml:space="preserve">4e@Lowest gain. 2.7e@unity gain  1.8e@high gain</t>
  </si>
  <si>
    <t xml:space="preserve">0.0006e/p/s @ -15C</t>
  </si>
  <si>
    <t xml:space="preserve">QHY367C</t>
  </si>
  <si>
    <t xml:space="preserve">IMX094</t>
  </si>
  <si>
    <t xml:space="preserve">3.2FPS@Full Reolusion</t>
  </si>
  <si>
    <t xml:space="preserve">3.2e-@Low gain. 2.4e-@unity gain</t>
  </si>
  <si>
    <t xml:space="preserve">0.0015e/p/s @ -15C</t>
  </si>
  <si>
    <t xml:space="preserve">QHY165C</t>
  </si>
  <si>
    <t xml:space="preserve">IMX080</t>
  </si>
  <si>
    <t xml:space="preserve">10FPS@Full Reslution </t>
  </si>
  <si>
    <t xml:space="preserve">12-bit</t>
  </si>
  <si>
    <t xml:space="preserve">QHY174/GPS</t>
  </si>
  <si>
    <t xml:space="preserve">IMX174</t>
  </si>
  <si>
    <t xml:space="preserve">138FPS @ 1936 x 1216</t>
  </si>
  <si>
    <t xml:space="preserve">5e@low gain    3e@high gain</t>
  </si>
  <si>
    <t xml:space="preserve">QHY178M/C</t>
  </si>
  <si>
    <t xml:space="preserve">IMX178 (BSI)</t>
  </si>
  <si>
    <t xml:space="preserve">50FPS @full resolution</t>
  </si>
  <si>
    <t xml:space="preserve">2.4e-@low gain    0.9e-@high gain</t>
  </si>
  <si>
    <t xml:space="preserve">QHY290M/C</t>
  </si>
  <si>
    <t xml:space="preserve">IMX290 (BSI)</t>
  </si>
  <si>
    <t xml:space="preserve">135FPS@1920x1080</t>
  </si>
  <si>
    <t xml:space="preserve">3.2e-@low gain    0.75e-@high gain</t>
  </si>
  <si>
    <t xml:space="preserve">QHY224C</t>
  </si>
  <si>
    <t xml:space="preserve">IMX224</t>
  </si>
  <si>
    <t xml:space="preserve">150FOS@1280x960</t>
  </si>
  <si>
    <t xml:space="preserve">3e-@low gain    0.55e-@high gain</t>
  </si>
  <si>
    <t xml:space="preserve">QHY5III290M/C</t>
  </si>
  <si>
    <t xml:space="preserve">QHY5III178M/C</t>
  </si>
  <si>
    <t xml:space="preserve">QHY5III174M/C</t>
  </si>
  <si>
    <t xml:space="preserve">QHY5III185C</t>
  </si>
  <si>
    <t xml:space="preserve">IMX185</t>
  </si>
  <si>
    <t xml:space="preserve">96FPS@1920x1200</t>
  </si>
  <si>
    <t xml:space="preserve">4e-@low gain,  1e-@high gain</t>
  </si>
  <si>
    <t xml:space="preserve">QHY5III224C</t>
  </si>
  <si>
    <t xml:space="preserve">QHY5L-II</t>
  </si>
  <si>
    <t xml:space="preserve">MT9M034</t>
  </si>
  <si>
    <t xml:space="preserve">30FPS@1280x960</t>
  </si>
  <si>
    <t xml:space="preserve">QHY5-II</t>
  </si>
  <si>
    <t xml:space="preserve">MT9M001</t>
  </si>
  <si>
    <t xml:space="preserve">30FPS@1280x1024</t>
  </si>
  <si>
    <t xml:space="preserve">8bit/10bit</t>
  </si>
  <si>
    <t xml:space="preserve">QHY5P-II-M</t>
  </si>
  <si>
    <t xml:space="preserve">MT9M031</t>
  </si>
  <si>
    <t xml:space="preserve">7FPS@2592x1944</t>
  </si>
  <si>
    <t xml:space="preserve">QHY5P-II-C</t>
  </si>
  <si>
    <t xml:space="preserve">MT9M006</t>
  </si>
  <si>
    <t xml:space="preserve">QHY5R-II</t>
  </si>
  <si>
    <t xml:space="preserve">ASX340</t>
  </si>
  <si>
    <t xml:space="preserve">95FPS</t>
  </si>
  <si>
    <t xml:space="preserve">miniCAM5F</t>
  </si>
  <si>
    <t xml:space="preserve">High Gain 2e-   Medium Gain 4e-   Low Gain 7e-</t>
  </si>
  <si>
    <t xml:space="preserve">miniCAM6F</t>
  </si>
  <si>
    <t xml:space="preserve"> 50FPS@3072 x 2048</t>
  </si>
  <si>
    <t xml:space="preserve">High Gain 0.9e-    Low Gain 2.4e-</t>
  </si>
  <si>
    <t xml:space="preserve">QHY42</t>
  </si>
  <si>
    <t xml:space="preserve">GSENSE400 (BSI)</t>
  </si>
  <si>
    <t xml:space="preserve">24FPS@2048*2048</t>
  </si>
  <si>
    <t xml:space="preserve">12bit</t>
  </si>
  <si>
    <t xml:space="preserve">1.7e</t>
  </si>
  <si>
    <t xml:space="preserve">QHY2020</t>
  </si>
  <si>
    <t xml:space="preserve">GSENSE2020 (BSI)</t>
  </si>
  <si>
    <t xml:space="preserve">43FPS@2048*2048*2
21.5FPS for low noise read</t>
  </si>
  <si>
    <t xml:space="preserve">dual 12bit</t>
  </si>
  <si>
    <t xml:space="preserve">1.6e</t>
  </si>
  <si>
    <t xml:space="preserve">QHY411(under developing)</t>
  </si>
  <si>
    <t xml:space="preserve">IMX411 (BSI)</t>
  </si>
  <si>
    <t xml:space="preserve">2FPS *</t>
  </si>
  <si>
    <t xml:space="preserve">QHY461(under developing)</t>
  </si>
  <si>
    <t xml:space="preserve">IMX461 (BSI)</t>
  </si>
  <si>
    <t xml:space="preserve">3FPS *</t>
  </si>
  <si>
    <t xml:space="preserve">ASI094MC</t>
  </si>
  <si>
    <t xml:space="preserve">4,75FPS</t>
  </si>
  <si>
    <t xml:space="preserve">1,7~3,0e</t>
  </si>
  <si>
    <t xml:space="preserve">ASI071MC</t>
  </si>
  <si>
    <t xml:space="preserve">10FPS</t>
  </si>
  <si>
    <r>
      <rPr>
        <i val="true"/>
        <sz val="10"/>
        <rFont val="Arial"/>
        <family val="2"/>
      </rPr>
      <t xml:space="preserve">2,3~3,3</t>
    </r>
    <r>
      <rPr>
        <i val="true"/>
        <vertAlign val="superscript"/>
        <sz val="10"/>
        <rFont val="Arial"/>
        <family val="2"/>
      </rPr>
      <t xml:space="preserve">e</t>
    </r>
  </si>
  <si>
    <t xml:space="preserve">ASI1600MC/MM</t>
  </si>
  <si>
    <t xml:space="preserve">Panasonic MN34230</t>
  </si>
  <si>
    <t xml:space="preserve">23FPS</t>
  </si>
  <si>
    <t xml:space="preserve">1,2~3,6e</t>
  </si>
  <si>
    <t xml:space="preserve">ASI174MC/MM</t>
  </si>
  <si>
    <t xml:space="preserve">164FPS</t>
  </si>
  <si>
    <r>
      <rPr>
        <i val="true"/>
        <sz val="10"/>
        <rFont val="Arial"/>
        <family val="2"/>
      </rPr>
      <t xml:space="preserve">3,4~6,0</t>
    </r>
    <r>
      <rPr>
        <i val="true"/>
        <vertAlign val="superscript"/>
        <sz val="10"/>
        <rFont val="Arial"/>
        <family val="2"/>
      </rPr>
      <t xml:space="preserve">e</t>
    </r>
  </si>
  <si>
    <t xml:space="preserve">ASI178MC/MM</t>
  </si>
  <si>
    <t xml:space="preserve">IMX178 </t>
  </si>
  <si>
    <t xml:space="preserve">60FPS</t>
  </si>
  <si>
    <t xml:space="preserve">1,4~2,2e</t>
  </si>
  <si>
    <t xml:space="preserve">ASI185MC</t>
  </si>
  <si>
    <t xml:space="preserve">108FPS</t>
  </si>
  <si>
    <t xml:space="preserve">1,5~3,2e</t>
  </si>
  <si>
    <t xml:space="preserve">ASI290MC/MM</t>
  </si>
  <si>
    <t xml:space="preserve">IMX290</t>
  </si>
  <si>
    <t xml:space="preserve">170FPS</t>
  </si>
  <si>
    <t xml:space="preserve">1,0~3,2e</t>
  </si>
  <si>
    <t xml:space="preserve">ASI224MC</t>
  </si>
  <si>
    <t xml:space="preserve">150FPS</t>
  </si>
  <si>
    <r>
      <rPr>
        <i val="true"/>
        <sz val="10"/>
        <rFont val="Arial"/>
        <family val="2"/>
      </rPr>
      <t xml:space="preserve">0,8~3,2</t>
    </r>
    <r>
      <rPr>
        <i val="true"/>
        <vertAlign val="superscript"/>
        <sz val="10"/>
        <rFont val="Arial"/>
        <family val="2"/>
      </rPr>
      <t xml:space="preserve">e</t>
    </r>
  </si>
  <si>
    <t xml:space="preserve">ASI120MC/MM-S</t>
  </si>
  <si>
    <t xml:space="preserve">Aptina AR0130CS</t>
  </si>
  <si>
    <r>
      <rPr>
        <i val="true"/>
        <sz val="10"/>
        <rFont val="Arial"/>
        <family val="2"/>
      </rPr>
      <t xml:space="preserve">4,0-6,6</t>
    </r>
    <r>
      <rPr>
        <i val="true"/>
        <vertAlign val="superscript"/>
        <sz val="10"/>
        <rFont val="Arial"/>
        <family val="2"/>
      </rPr>
      <t xml:space="preserve">e</t>
    </r>
  </si>
  <si>
    <t xml:space="preserve">ASI120MC/MM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</si>
</sst>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@"/>
    <numFmt numFmtId="166" formatCode="0.0"/>
    <numFmt numFmtId="167" formatCode="[H]:MM:SS"/>
    <numFmt numFmtId="168" formatCode="0"/>
    <numFmt numFmtId="169" formatCode="0.00"/>
    <numFmt numFmtId="170" formatCode="&quot;VRAI&quot;;&quot;VRAI&quot;;&quot;FAUX&quot;"/>
  </numFmts>
  <fonts count="56"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24"/>
      <color rgb="FF000000"/>
      <name val="Arial"/>
      <family val="0"/>
    </font>
    <font>
      <sz val="18"/>
      <color rgb="FF000000"/>
      <name val="Arial"/>
      <family val="0"/>
    </font>
    <font>
      <sz val="12"/>
      <color rgb="FF000000"/>
      <name val="Arial"/>
      <family val="0"/>
    </font>
    <font>
      <sz val="10"/>
      <color rgb="FF333333"/>
      <name val="Arial"/>
      <family val="0"/>
    </font>
    <font>
      <i val="true"/>
      <sz val="10"/>
      <color rgb="FF808080"/>
      <name val="Arial"/>
      <family val="0"/>
    </font>
    <font>
      <u val="single"/>
      <sz val="10"/>
      <color rgb="FF0000EE"/>
      <name val="Arial"/>
      <family val="0"/>
    </font>
    <font>
      <sz val="10"/>
      <color rgb="FF006600"/>
      <name val="Arial"/>
      <family val="0"/>
    </font>
    <font>
      <sz val="10"/>
      <color rgb="FF996600"/>
      <name val="Arial"/>
      <family val="0"/>
    </font>
    <font>
      <sz val="10"/>
      <color rgb="FFCC0000"/>
      <name val="Arial"/>
      <family val="0"/>
    </font>
    <font>
      <b val="true"/>
      <sz val="10"/>
      <color rgb="FFFFFFFF"/>
      <name val="Arial"/>
      <family val="0"/>
    </font>
    <font>
      <b val="true"/>
      <sz val="10"/>
      <color rgb="FF000000"/>
      <name val="Arial"/>
      <family val="0"/>
    </font>
    <font>
      <sz val="10"/>
      <color rgb="FFFFFFFF"/>
      <name val="Arial"/>
      <family val="0"/>
    </font>
    <font>
      <sz val="11"/>
      <color rgb="FF000000"/>
      <name val="Calibri"/>
      <family val="2"/>
    </font>
    <font>
      <sz val="11"/>
      <color rgb="FFFFFFFF"/>
      <name val="Calibri"/>
      <family val="2"/>
    </font>
    <font>
      <sz val="11"/>
      <color rgb="FFFF0000"/>
      <name val="Calibri"/>
      <family val="2"/>
    </font>
    <font>
      <b val="true"/>
      <sz val="11"/>
      <color rgb="FFFF9900"/>
      <name val="Calibri"/>
      <family val="2"/>
    </font>
    <font>
      <sz val="11"/>
      <color rgb="FFFF9900"/>
      <name val="Calibri"/>
      <family val="2"/>
    </font>
    <font>
      <sz val="11"/>
      <color rgb="FF333399"/>
      <name val="Calibri"/>
      <family val="2"/>
    </font>
    <font>
      <sz val="11"/>
      <color rgb="FF800080"/>
      <name val="Calibri"/>
      <family val="2"/>
    </font>
    <font>
      <sz val="11"/>
      <color rgb="FF993300"/>
      <name val="Calibri"/>
      <family val="2"/>
    </font>
    <font>
      <sz val="11"/>
      <color rgb="FF008000"/>
      <name val="Calibri"/>
      <family val="2"/>
    </font>
    <font>
      <b val="true"/>
      <sz val="11"/>
      <color rgb="FF333333"/>
      <name val="Calibri"/>
      <family val="2"/>
    </font>
    <font>
      <sz val="10"/>
      <name val="Arial"/>
      <family val="2"/>
    </font>
    <font>
      <i val="true"/>
      <sz val="11"/>
      <color rgb="FF808080"/>
      <name val="Calibri"/>
      <family val="2"/>
    </font>
    <font>
      <b val="true"/>
      <sz val="18"/>
      <color rgb="FF666699"/>
      <name val="Cambria"/>
      <family val="2"/>
    </font>
    <font>
      <b val="true"/>
      <sz val="15"/>
      <color rgb="FF666699"/>
      <name val="Calibri"/>
      <family val="2"/>
    </font>
    <font>
      <b val="true"/>
      <sz val="13"/>
      <color rgb="FF666699"/>
      <name val="Calibri"/>
      <family val="2"/>
    </font>
    <font>
      <b val="true"/>
      <sz val="11"/>
      <color rgb="FF666699"/>
      <name val="Calibri"/>
      <family val="2"/>
    </font>
    <font>
      <b val="true"/>
      <sz val="11"/>
      <color rgb="FF000000"/>
      <name val="Calibri"/>
      <family val="2"/>
    </font>
    <font>
      <b val="true"/>
      <sz val="11"/>
      <color rgb="FFFFFFFF"/>
      <name val="Calibri"/>
      <family val="2"/>
    </font>
    <font>
      <b val="true"/>
      <sz val="28"/>
      <color rgb="FFFFCC99"/>
      <name val="Arial"/>
      <family val="2"/>
    </font>
    <font>
      <b val="true"/>
      <sz val="10"/>
      <color rgb="FF0000FF"/>
      <name val="Arial"/>
      <family val="2"/>
    </font>
    <font>
      <b val="true"/>
      <sz val="10"/>
      <color rgb="FFFF0000"/>
      <name val="Arial"/>
      <family val="2"/>
    </font>
    <font>
      <b val="true"/>
      <sz val="10"/>
      <name val="Arial"/>
      <family val="2"/>
    </font>
    <font>
      <b val="true"/>
      <sz val="14"/>
      <name val="Arial"/>
      <family val="2"/>
    </font>
    <font>
      <sz val="8"/>
      <name val="Arial"/>
      <family val="2"/>
    </font>
    <font>
      <i val="true"/>
      <sz val="10"/>
      <name val="Arial"/>
      <family val="2"/>
    </font>
    <font>
      <sz val="10"/>
      <color rgb="FFFF0000"/>
      <name val="Arial"/>
      <family val="2"/>
    </font>
    <font>
      <sz val="10"/>
      <color rgb="FFFFFFFF"/>
      <name val="Arial"/>
      <family val="2"/>
    </font>
    <font>
      <i val="true"/>
      <sz val="10"/>
      <color rgb="FFFF0000"/>
      <name val="Arial"/>
      <family val="2"/>
    </font>
    <font>
      <b val="true"/>
      <sz val="20"/>
      <name val="Arial"/>
      <family val="2"/>
    </font>
    <font>
      <sz val="10"/>
      <color rgb="FF0000FF"/>
      <name val="Arial"/>
      <family val="2"/>
    </font>
    <font>
      <b val="true"/>
      <sz val="10"/>
      <name val="Arial"/>
      <family val="0"/>
    </font>
    <font>
      <sz val="10"/>
      <color rgb="FF969696"/>
      <name val="Arial"/>
      <family val="0"/>
    </font>
    <font>
      <u val="single"/>
      <sz val="10"/>
      <color rgb="FF0000FF"/>
      <name val="Arial"/>
      <family val="0"/>
    </font>
    <font>
      <sz val="10"/>
      <color rgb="FF000000"/>
      <name val="Arial"/>
      <family val="2"/>
    </font>
    <font>
      <i val="true"/>
      <sz val="10"/>
      <name val="Arial"/>
      <family val="0"/>
    </font>
    <font>
      <b val="true"/>
      <i val="true"/>
      <sz val="10"/>
      <name val="Arial"/>
      <family val="2"/>
    </font>
    <font>
      <i val="true"/>
      <sz val="10"/>
      <color rgb="FF000000"/>
      <name val="Arial"/>
      <family val="2"/>
    </font>
    <font>
      <i val="true"/>
      <sz val="10"/>
      <color rgb="FF000000"/>
      <name val="Times New Roman"/>
      <family val="1"/>
    </font>
    <font>
      <i val="true"/>
      <sz val="10"/>
      <name val="Times New Roman"/>
      <family val="1"/>
    </font>
    <font>
      <i val="true"/>
      <vertAlign val="superscript"/>
      <sz val="10"/>
      <name val="Arial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CC"/>
        <bgColor rgb="FFFFFFFF"/>
      </patternFill>
    </fill>
    <fill>
      <patternFill patternType="solid">
        <fgColor rgb="FFCCFFCC"/>
        <bgColor rgb="FFCCFFFF"/>
      </patternFill>
    </fill>
    <fill>
      <patternFill patternType="solid">
        <fgColor rgb="FFFFCCCC"/>
        <bgColor rgb="FFFFCC99"/>
      </patternFill>
    </fill>
    <fill>
      <patternFill patternType="solid">
        <fgColor rgb="FFCC0000"/>
        <bgColor rgb="FFFF0000"/>
      </patternFill>
    </fill>
    <fill>
      <patternFill patternType="solid">
        <fgColor rgb="FF000000"/>
        <bgColor rgb="FF00008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FFCCCC"/>
      </patternFill>
    </fill>
    <fill>
      <patternFill patternType="solid">
        <fgColor rgb="FFCCFFFF"/>
        <bgColor rgb="FFCCFFCC"/>
      </patternFill>
    </fill>
    <fill>
      <patternFill patternType="solid">
        <fgColor rgb="FFFF99CC"/>
        <bgColor rgb="FFFF8080"/>
      </patternFill>
    </fill>
    <fill>
      <patternFill patternType="solid">
        <fgColor rgb="FFFFCC99"/>
        <bgColor rgb="FFFFCCCC"/>
      </patternFill>
    </fill>
    <fill>
      <patternFill patternType="solid">
        <fgColor rgb="FFFF8080"/>
        <bgColor rgb="FFFF99CC"/>
      </patternFill>
    </fill>
    <fill>
      <patternFill patternType="solid">
        <fgColor rgb="FF99CCFF"/>
        <bgColor rgb="FFC0C0C0"/>
      </patternFill>
    </fill>
    <fill>
      <patternFill patternType="solid">
        <fgColor rgb="FF33CCCC"/>
        <bgColor rgb="FF00CCFF"/>
      </patternFill>
    </fill>
    <fill>
      <patternFill patternType="solid">
        <fgColor rgb="FFFFCC00"/>
        <bgColor rgb="FFFFFF00"/>
      </patternFill>
    </fill>
    <fill>
      <patternFill patternType="solid">
        <fgColor rgb="FF339966"/>
        <bgColor rgb="FF008080"/>
      </patternFill>
    </fill>
    <fill>
      <patternFill patternType="solid">
        <fgColor rgb="FFFF6600"/>
        <bgColor rgb="FFFF9900"/>
      </patternFill>
    </fill>
    <fill>
      <patternFill patternType="solid">
        <fgColor rgb="FFFF0000"/>
        <bgColor rgb="FFCC0000"/>
      </patternFill>
    </fill>
    <fill>
      <patternFill patternType="solid">
        <fgColor rgb="FFC0C0C0"/>
        <bgColor rgb="FFDDDDDD"/>
      </patternFill>
    </fill>
    <fill>
      <patternFill patternType="solid">
        <fgColor rgb="FFFFFF99"/>
        <bgColor rgb="FFFFFFCC"/>
      </patternFill>
    </fill>
    <fill>
      <patternFill patternType="solid">
        <fgColor rgb="FF969696"/>
        <bgColor rgb="FF808080"/>
      </patternFill>
    </fill>
    <fill>
      <patternFill patternType="solid">
        <fgColor rgb="FFFFFFFF"/>
        <bgColor rgb="FFFFFFCC"/>
      </patternFill>
    </fill>
  </fills>
  <borders count="30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false" diagonalDown="false">
      <left/>
      <right/>
      <top/>
      <bottom style="double">
        <color rgb="FFFF9900"/>
      </bottom>
      <diagonal/>
    </border>
    <border diagonalUp="false" diagonalDown="false"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 diagonalUp="false" diagonalDown="false"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 diagonalUp="false" diagonalDown="false">
      <left style="thin">
        <color rgb="FF4C4C4C"/>
      </left>
      <right style="thin">
        <color rgb="FF4C4C4C"/>
      </right>
      <top style="thin">
        <color rgb="FF4C4C4C"/>
      </top>
      <bottom style="thin">
        <color rgb="FF4C4C4C"/>
      </bottom>
      <diagonal/>
    </border>
    <border diagonalUp="false" diagonalDown="false">
      <left/>
      <right/>
      <top/>
      <bottom style="thick">
        <color rgb="FFFFCC00"/>
      </bottom>
      <diagonal/>
    </border>
    <border diagonalUp="false" diagonalDown="false">
      <left/>
      <right/>
      <top/>
      <bottom style="thick">
        <color rgb="FFFFCC99"/>
      </bottom>
      <diagonal/>
    </border>
    <border diagonalUp="false" diagonalDown="false">
      <left/>
      <right/>
      <top/>
      <bottom style="medium">
        <color rgb="FFFFCC99"/>
      </bottom>
      <diagonal/>
    </border>
    <border diagonalUp="false" diagonalDown="false">
      <left/>
      <right/>
      <top style="thin">
        <color rgb="FFFFCC00"/>
      </top>
      <bottom style="double">
        <color rgb="FFFFCC00"/>
      </bottom>
      <diagonal/>
    </border>
    <border diagonalUp="false" diagonalDown="false"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 diagonalUp="false" diagonalDown="false">
      <left style="thin">
        <color rgb="FF4C4C4C"/>
      </left>
      <right style="thin">
        <color rgb="FF4C4C4C"/>
      </right>
      <top/>
      <bottom/>
      <diagonal/>
    </border>
    <border diagonalUp="false" diagonalDown="false">
      <left style="thin">
        <color rgb="FF4C4C4C"/>
      </left>
      <right style="thin">
        <color rgb="FF4C4C4C"/>
      </right>
      <top style="thin">
        <color rgb="FF4C4C4C"/>
      </top>
      <bottom/>
      <diagonal/>
    </border>
    <border diagonalUp="false" diagonalDown="false">
      <left style="thin">
        <color rgb="FF4C4C4C"/>
      </left>
      <right/>
      <top style="thin">
        <color rgb="FF4C4C4C"/>
      </top>
      <bottom style="thin">
        <color rgb="FF4C4C4C"/>
      </bottom>
      <diagonal/>
    </border>
    <border diagonalUp="false" diagonalDown="false">
      <left/>
      <right/>
      <top style="thin">
        <color rgb="FF4C4C4C"/>
      </top>
      <bottom style="thin">
        <color rgb="FF4C4C4C"/>
      </bottom>
      <diagonal/>
    </border>
    <border diagonalUp="false" diagonalDown="false">
      <left/>
      <right style="thin">
        <color rgb="FF4C4C4C"/>
      </right>
      <top style="thin">
        <color rgb="FF4C4C4C"/>
      </top>
      <bottom style="thin">
        <color rgb="FF4C4C4C"/>
      </bottom>
      <diagonal/>
    </border>
    <border diagonalUp="false" diagonalDown="false">
      <left style="thin">
        <color rgb="FF4C4C4C"/>
      </left>
      <right style="thin">
        <color rgb="FF4C4C4C"/>
      </right>
      <top/>
      <bottom style="thin">
        <color rgb="FF4C4C4C"/>
      </bottom>
      <diagonal/>
    </border>
    <border diagonalUp="false" diagonalDown="false">
      <left style="thin">
        <color rgb="FF4C4C4C"/>
      </left>
      <right/>
      <top/>
      <bottom/>
      <diagonal/>
    </border>
    <border diagonalUp="false" diagonalDown="false">
      <left/>
      <right style="thin">
        <color rgb="FF4C4C4C"/>
      </right>
      <top/>
      <bottom/>
      <diagonal/>
    </border>
    <border diagonalUp="false" diagonalDown="false">
      <left/>
      <right style="thin">
        <color rgb="FF808080"/>
      </right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/>
      <diagonal/>
    </border>
    <border diagonalUp="false" diagonalDown="false">
      <left style="thin">
        <color rgb="FF969696"/>
      </left>
      <right style="thin">
        <color rgb="FF969696"/>
      </right>
      <top style="thin">
        <color rgb="FF969696"/>
      </top>
      <bottom style="thin">
        <color rgb="FF969696"/>
      </bottom>
      <diagonal/>
    </border>
    <border diagonalUp="false" diagonalDown="false">
      <left style="thin">
        <color rgb="FF993300"/>
      </left>
      <right style="thin">
        <color rgb="FF993300"/>
      </right>
      <top style="thin">
        <color rgb="FF993300"/>
      </top>
      <bottom style="thin">
        <color rgb="FF993300"/>
      </bottom>
      <diagonal/>
    </border>
    <border diagonalUp="false" diagonalDown="false">
      <left style="thin">
        <color rgb="FF993300"/>
      </left>
      <right style="thin">
        <color rgb="FF993300"/>
      </right>
      <top style="thin">
        <color rgb="FF993300"/>
      </top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>
        <color rgb="FF993300"/>
      </left>
      <right style="thin">
        <color rgb="FF993300"/>
      </right>
      <top/>
      <bottom style="thin">
        <color rgb="FF993300"/>
      </bottom>
      <diagonal/>
    </border>
    <border diagonalUp="false" diagonalDown="false">
      <left/>
      <right style="thin"/>
      <top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hair"/>
      <right style="hair"/>
      <top style="hair"/>
      <bottom style="hair"/>
      <diagonal/>
    </border>
  </borders>
  <cellStyleXfs count="8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8" fillId="0" borderId="0" applyFont="true" applyBorder="false" applyAlignment="false" applyProtection="false"/>
    <xf numFmtId="164" fontId="4" fillId="0" borderId="0" applyFont="true" applyBorder="false" applyAlignment="false" applyProtection="false"/>
    <xf numFmtId="164" fontId="5" fillId="0" borderId="0" applyFont="true" applyBorder="false" applyAlignment="false" applyProtection="false"/>
    <xf numFmtId="164" fontId="6" fillId="0" borderId="0" applyFont="true" applyBorder="false" applyAlignment="false" applyProtection="false"/>
    <xf numFmtId="164" fontId="0" fillId="0" borderId="0" applyFont="true" applyBorder="false" applyAlignment="false" applyProtection="false"/>
    <xf numFmtId="164" fontId="7" fillId="2" borderId="1" applyFont="true" applyBorder="true" applyAlignment="false" applyProtection="false"/>
    <xf numFmtId="164" fontId="8" fillId="0" borderId="0" applyFont="true" applyBorder="false" applyAlignment="false" applyProtection="false"/>
    <xf numFmtId="164" fontId="9" fillId="0" borderId="0" applyFont="true" applyBorder="false" applyAlignment="false" applyProtection="false"/>
    <xf numFmtId="164" fontId="0" fillId="0" borderId="0" applyFont="true" applyBorder="false" applyAlignment="false" applyProtection="false"/>
    <xf numFmtId="164" fontId="10" fillId="3" borderId="0" applyFont="true" applyBorder="false" applyAlignment="false" applyProtection="false"/>
    <xf numFmtId="164" fontId="11" fillId="2" borderId="0" applyFont="true" applyBorder="false" applyAlignment="false" applyProtection="false"/>
    <xf numFmtId="164" fontId="12" fillId="4" borderId="0" applyFont="true" applyBorder="false" applyAlignment="false" applyProtection="false"/>
    <xf numFmtId="164" fontId="12" fillId="0" borderId="0" applyFont="true" applyBorder="false" applyAlignment="false" applyProtection="false"/>
    <xf numFmtId="164" fontId="13" fillId="5" borderId="0" applyFont="true" applyBorder="false" applyAlignment="false" applyProtection="false"/>
    <xf numFmtId="164" fontId="14" fillId="0" borderId="0" applyFont="true" applyBorder="false" applyAlignment="false" applyProtection="false"/>
    <xf numFmtId="164" fontId="15" fillId="6" borderId="0" applyFont="true" applyBorder="false" applyAlignment="false" applyProtection="false"/>
    <xf numFmtId="164" fontId="15" fillId="7" borderId="0" applyFont="true" applyBorder="false" applyAlignment="false" applyProtection="false"/>
    <xf numFmtId="164" fontId="14" fillId="8" borderId="0" applyFont="true" applyBorder="false" applyAlignment="false" applyProtection="false"/>
    <xf numFmtId="164" fontId="16" fillId="2" borderId="0" applyFont="true" applyBorder="false" applyAlignment="false" applyProtection="false"/>
    <xf numFmtId="164" fontId="16" fillId="9" borderId="0" applyFont="true" applyBorder="false" applyAlignment="false" applyProtection="false"/>
    <xf numFmtId="164" fontId="16" fillId="10" borderId="0" applyFont="true" applyBorder="false" applyAlignment="false" applyProtection="false"/>
    <xf numFmtId="164" fontId="16" fillId="3" borderId="0" applyFont="true" applyBorder="false" applyAlignment="false" applyProtection="false"/>
    <xf numFmtId="164" fontId="16" fillId="11" borderId="0" applyFont="true" applyBorder="false" applyAlignment="false" applyProtection="false"/>
    <xf numFmtId="164" fontId="16" fillId="12" borderId="0" applyFont="true" applyBorder="false" applyAlignment="false" applyProtection="false"/>
    <xf numFmtId="164" fontId="16" fillId="11" borderId="0" applyFont="true" applyBorder="false" applyAlignment="false" applyProtection="false"/>
    <xf numFmtId="164" fontId="16" fillId="13" borderId="0" applyFont="true" applyBorder="false" applyAlignment="false" applyProtection="false"/>
    <xf numFmtId="164" fontId="16" fillId="10" borderId="0" applyFont="true" applyBorder="false" applyAlignment="false" applyProtection="false"/>
    <xf numFmtId="164" fontId="16" fillId="3" borderId="0" applyFont="true" applyBorder="false" applyAlignment="false" applyProtection="false"/>
    <xf numFmtId="164" fontId="16" fillId="11" borderId="0" applyFont="true" applyBorder="false" applyAlignment="false" applyProtection="false"/>
    <xf numFmtId="164" fontId="16" fillId="12" borderId="0" applyFont="true" applyBorder="false" applyAlignment="false" applyProtection="false"/>
    <xf numFmtId="164" fontId="17" fillId="11" borderId="0" applyFont="true" applyBorder="false" applyAlignment="false" applyProtection="false"/>
    <xf numFmtId="164" fontId="17" fillId="14" borderId="0" applyFont="true" applyBorder="false" applyAlignment="false" applyProtection="false"/>
    <xf numFmtId="164" fontId="17" fillId="10" borderId="0" applyFont="true" applyBorder="false" applyAlignment="false" applyProtection="false"/>
    <xf numFmtId="164" fontId="17" fillId="14" borderId="0" applyFont="true" applyBorder="false" applyAlignment="false" applyProtection="false"/>
    <xf numFmtId="164" fontId="17" fillId="11" borderId="0" applyFont="true" applyBorder="false" applyAlignment="false" applyProtection="false"/>
    <xf numFmtId="164" fontId="17" fillId="12" borderId="0" applyFont="true" applyBorder="false" applyAlignment="false" applyProtection="false"/>
    <xf numFmtId="164" fontId="17" fillId="15" borderId="0" applyFont="true" applyBorder="false" applyAlignment="false" applyProtection="false"/>
    <xf numFmtId="164" fontId="17" fillId="14" borderId="0" applyFont="true" applyBorder="false" applyAlignment="false" applyProtection="false"/>
    <xf numFmtId="164" fontId="17" fillId="10" borderId="0" applyFont="true" applyBorder="false" applyAlignment="false" applyProtection="false"/>
    <xf numFmtId="164" fontId="17" fillId="16" borderId="0" applyFont="true" applyBorder="false" applyAlignment="false" applyProtection="false"/>
    <xf numFmtId="164" fontId="17" fillId="17" borderId="0" applyFont="true" applyBorder="false" applyAlignment="false" applyProtection="false"/>
    <xf numFmtId="164" fontId="17" fillId="18" borderId="0" applyFont="true" applyBorder="false" applyAlignment="false" applyProtection="false"/>
    <xf numFmtId="164" fontId="18" fillId="0" borderId="0" applyFont="true" applyBorder="false" applyAlignment="false" applyProtection="false"/>
    <xf numFmtId="164" fontId="19" fillId="19" borderId="1" applyFont="true" applyBorder="true" applyAlignment="false" applyProtection="false"/>
    <xf numFmtId="164" fontId="20" fillId="0" borderId="2" applyFont="true" applyBorder="true" applyAlignment="false" applyProtection="false"/>
    <xf numFmtId="164" fontId="0" fillId="2" borderId="3" applyFont="true" applyBorder="true" applyAlignment="false" applyProtection="false"/>
    <xf numFmtId="164" fontId="21" fillId="11" borderId="1" applyFont="true" applyBorder="true" applyAlignment="false" applyProtection="false"/>
    <xf numFmtId="164" fontId="22" fillId="10" borderId="0" applyFont="true" applyBorder="false" applyAlignment="false" applyProtection="false"/>
    <xf numFmtId="164" fontId="23" fillId="20" borderId="0" applyFont="true" applyBorder="false" applyAlignment="false" applyProtection="false"/>
    <xf numFmtId="164" fontId="24" fillId="3" borderId="0" applyFont="true" applyBorder="false" applyAlignment="false" applyProtection="false"/>
    <xf numFmtId="164" fontId="25" fillId="19" borderId="4" applyFont="true" applyBorder="true" applyAlignment="false" applyProtection="false"/>
    <xf numFmtId="164" fontId="26" fillId="12" borderId="5" applyFont="true" applyBorder="true" applyAlignment="false" applyProtection="true">
      <protection locked="true" hidden="false"/>
    </xf>
    <xf numFmtId="164" fontId="27" fillId="0" borderId="0" applyFont="true" applyBorder="false" applyAlignment="false" applyProtection="false"/>
    <xf numFmtId="164" fontId="28" fillId="0" borderId="0" applyFont="true" applyBorder="false" applyAlignment="false" applyProtection="false"/>
    <xf numFmtId="164" fontId="29" fillId="0" borderId="6" applyFont="true" applyBorder="true" applyAlignment="false" applyProtection="false"/>
    <xf numFmtId="164" fontId="30" fillId="0" borderId="7" applyFont="true" applyBorder="true" applyAlignment="false" applyProtection="false"/>
    <xf numFmtId="164" fontId="31" fillId="0" borderId="8" applyFont="true" applyBorder="true" applyAlignment="false" applyProtection="false"/>
    <xf numFmtId="164" fontId="31" fillId="0" borderId="0" applyFont="true" applyBorder="false" applyAlignment="false" applyProtection="false"/>
    <xf numFmtId="164" fontId="32" fillId="0" borderId="9" applyFont="true" applyBorder="true" applyAlignment="false" applyProtection="false"/>
    <xf numFmtId="164" fontId="33" fillId="21" borderId="10" applyFont="true" applyBorder="true" applyAlignment="false" applyProtection="false"/>
  </cellStyleXfs>
  <cellXfs count="19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6" fillId="22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26" fillId="22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26" fillId="22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34" fillId="22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4" fillId="22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34" fillId="22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35" fillId="22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36" fillId="22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37" fillId="22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8" fillId="22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7" fillId="22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7" fillId="22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7" fillId="22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7" fillId="22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7" fillId="22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9" fillId="22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37" fillId="22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7" fillId="22" borderId="1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37" fillId="22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7" fillId="22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5" fillId="22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35" fillId="22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35" fillId="22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5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5" fillId="22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36" fillId="22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5" fillId="22" borderId="1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5" fillId="22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5" fillId="22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36" fillId="22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6" fillId="22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0" fillId="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0" fillId="22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0" fillId="22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0" fillId="22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41" fillId="22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41" fillId="22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6" fillId="22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42" fillId="22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40" fillId="22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0" fillId="22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36" fillId="22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6" fillId="22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2" fillId="22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43" fillId="22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40" fillId="22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40" fillId="22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26" fillId="22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37" fillId="22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6" fontId="40" fillId="22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7" fillId="22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0" fillId="22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8" fillId="22" borderId="18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37" fillId="22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37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6" fillId="22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9" fontId="26" fillId="22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9" fontId="26" fillId="22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26" fillId="22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8" fontId="26" fillId="22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7" fontId="26" fillId="22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37" fillId="22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4" fillId="22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26" fillId="22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6" fillId="22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41" fillId="22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5" fillId="22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2" fillId="22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48" fillId="0" borderId="0" xfId="2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6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26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2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37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37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7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7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42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6" fillId="9" borderId="1" xfId="39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6" fillId="9" borderId="1" xfId="39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9" fontId="26" fillId="9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0" fillId="22" borderId="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6" fillId="11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26" fillId="11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9" fontId="26" fillId="11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2" fillId="0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3" borderId="1" xfId="39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6" fillId="3" borderId="1" xfId="39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9" fontId="26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6" fillId="2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26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9" fontId="26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6" fillId="22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26" fillId="2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9" fontId="26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6" fillId="9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26" fillId="9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6" fillId="3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26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9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26" fillId="12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26" fillId="1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9" fontId="26" fillId="1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6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2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6" fillId="3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5" fontId="26" fillId="2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8" fontId="26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6" fillId="2" borderId="2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8" fontId="26" fillId="2" borderId="2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6" fillId="2" borderId="2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9" fontId="26" fillId="2" borderId="2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6" fillId="9" borderId="2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26" fillId="9" borderId="2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6" fillId="9" borderId="2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26" fillId="9" borderId="2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0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8" fontId="4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5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1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1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51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0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0" fillId="0" borderId="2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0" fillId="0" borderId="2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9" fontId="40" fillId="0" borderId="2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40" fillId="0" borderId="2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0" fillId="0" borderId="22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6" fontId="40" fillId="0" borderId="22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40" fillId="0" borderId="2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0" fillId="0" borderId="2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9" fontId="40" fillId="0" borderId="2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40" fillId="0" borderId="2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0" fillId="0" borderId="23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6" fontId="40" fillId="0" borderId="23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40" fillId="0" borderId="2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0" fillId="0" borderId="24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9" fontId="40" fillId="0" borderId="2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40" fillId="0" borderId="2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0" fillId="0" borderId="24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6" fontId="40" fillId="0" borderId="24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40" fillId="0" borderId="2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0" fillId="0" borderId="25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6" fontId="40" fillId="0" borderId="2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40" fillId="0" borderId="2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40" fillId="0" borderId="25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6" fontId="40" fillId="0" borderId="2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0" fillId="0" borderId="2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6" fontId="40" fillId="0" borderId="2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0" fillId="0" borderId="2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8" fontId="40" fillId="0" borderId="24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0" fillId="0" borderId="26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0" fillId="0" borderId="27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9" fontId="40" fillId="0" borderId="2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40" fillId="0" borderId="2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0" fillId="0" borderId="27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6" fontId="40" fillId="0" borderId="27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40" fillId="0" borderId="2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0" fillId="0" borderId="2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0" fillId="0" borderId="28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9" fontId="40" fillId="0" borderId="2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40" fillId="0" borderId="2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0" fillId="0" borderId="28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6" fontId="40" fillId="0" borderId="28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52" fillId="0" borderId="2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2" fillId="0" borderId="24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9" fontId="52" fillId="0" borderId="2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52" fillId="0" borderId="2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2" fillId="0" borderId="24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6" fontId="52" fillId="0" borderId="24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52" fillId="0" borderId="2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2" fillId="0" borderId="28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9" fontId="52" fillId="0" borderId="2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52" fillId="0" borderId="2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2" fillId="0" borderId="28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6" fontId="52" fillId="0" borderId="28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40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53" fillId="22" borderId="29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54" fillId="0" borderId="29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54" fillId="0" borderId="29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54" fillId="0" borderId="29" xfId="0" applyFont="true" applyBorder="true" applyAlignment="true" applyProtection="false">
      <alignment horizontal="right" vertical="bottom" textRotation="0" wrapText="true" indent="0" shrinkToFit="false"/>
      <protection locked="true" hidden="false"/>
    </xf>
    <xf numFmtId="170" fontId="54" fillId="0" borderId="29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53" fillId="0" borderId="29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50" fillId="0" borderId="2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0" fillId="0" borderId="2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0" fillId="0" borderId="2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4" fillId="0" borderId="29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0" fillId="0" borderId="2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0" fillId="0" borderId="29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8" fontId="40" fillId="0" borderId="2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0" fillId="0" borderId="29" xfId="0" applyFont="true" applyBorder="true" applyAlignment="true" applyProtection="false">
      <alignment horizontal="right" vertical="bottom" textRotation="0" wrapText="false" indent="0" shrinkToFit="false"/>
      <protection locked="true" hidden="false"/>
    </xf>
  </cellXfs>
  <cellStyles count="6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Heading" xfId="21" builtinId="53" customBuiltin="true"/>
    <cellStyle name="Heading 1" xfId="22" builtinId="53" customBuiltin="true"/>
    <cellStyle name="Heading 2" xfId="23" builtinId="53" customBuiltin="true"/>
    <cellStyle name="Text" xfId="24" builtinId="53" customBuiltin="true"/>
    <cellStyle name="Note" xfId="25" builtinId="53" customBuiltin="true"/>
    <cellStyle name="Footnote" xfId="26" builtinId="53" customBuiltin="true"/>
    <cellStyle name="Hyperlink" xfId="27" builtinId="53" customBuiltin="true"/>
    <cellStyle name="Status" xfId="28" builtinId="53" customBuiltin="true"/>
    <cellStyle name="Good" xfId="29" builtinId="53" customBuiltin="true"/>
    <cellStyle name="Neutral" xfId="30" builtinId="53" customBuiltin="true"/>
    <cellStyle name="Bad" xfId="31" builtinId="53" customBuiltin="true"/>
    <cellStyle name="Warning" xfId="32" builtinId="53" customBuiltin="true"/>
    <cellStyle name="Error" xfId="33" builtinId="53" customBuiltin="true"/>
    <cellStyle name="Accent" xfId="34" builtinId="53" customBuiltin="true"/>
    <cellStyle name="Accent 1" xfId="35" builtinId="53" customBuiltin="true"/>
    <cellStyle name="Accent 2" xfId="36" builtinId="53" customBuiltin="true"/>
    <cellStyle name="Accent 3" xfId="37" builtinId="53" customBuiltin="true"/>
    <cellStyle name="20 % - Accent1" xfId="38" builtinId="53" customBuiltin="true"/>
    <cellStyle name="20 % - Accent2" xfId="39" builtinId="53" customBuiltin="true"/>
    <cellStyle name="20 % - Accent3" xfId="40" builtinId="53" customBuiltin="true"/>
    <cellStyle name="20 % - Accent4" xfId="41" builtinId="53" customBuiltin="true"/>
    <cellStyle name="20 % - Accent5" xfId="42" builtinId="53" customBuiltin="true"/>
    <cellStyle name="20 % - Accent6" xfId="43" builtinId="53" customBuiltin="true"/>
    <cellStyle name="40 % - Accent1" xfId="44" builtinId="53" customBuiltin="true"/>
    <cellStyle name="40 % - Accent2" xfId="45" builtinId="53" customBuiltin="true"/>
    <cellStyle name="40 % - Accent3" xfId="46" builtinId="53" customBuiltin="true"/>
    <cellStyle name="40 % - Accent4" xfId="47" builtinId="53" customBuiltin="true"/>
    <cellStyle name="40 % - Accent5" xfId="48" builtinId="53" customBuiltin="true"/>
    <cellStyle name="40 % - Accent6" xfId="49" builtinId="53" customBuiltin="true"/>
    <cellStyle name="60 % - Accent1" xfId="50" builtinId="53" customBuiltin="true"/>
    <cellStyle name="60 % - Accent2" xfId="51" builtinId="53" customBuiltin="true"/>
    <cellStyle name="60 % - Accent3" xfId="52" builtinId="53" customBuiltin="true"/>
    <cellStyle name="60 % - Accent4" xfId="53" builtinId="53" customBuiltin="true"/>
    <cellStyle name="60 % - Accent5" xfId="54" builtinId="53" customBuiltin="true"/>
    <cellStyle name="60 % - Accent6" xfId="55" builtinId="53" customBuiltin="true"/>
    <cellStyle name="Accent1" xfId="56" builtinId="53" customBuiltin="true"/>
    <cellStyle name="Accent2" xfId="57" builtinId="53" customBuiltin="true"/>
    <cellStyle name="Accent3" xfId="58" builtinId="53" customBuiltin="true"/>
    <cellStyle name="Accent4" xfId="59" builtinId="53" customBuiltin="true"/>
    <cellStyle name="Accent5" xfId="60" builtinId="53" customBuiltin="true"/>
    <cellStyle name="Accent6" xfId="61" builtinId="53" customBuiltin="true"/>
    <cellStyle name="Avertissement" xfId="62" builtinId="53" customBuiltin="true"/>
    <cellStyle name="Calcul" xfId="63" builtinId="53" customBuiltin="true"/>
    <cellStyle name="Cellule liée" xfId="64" builtinId="53" customBuiltin="true"/>
    <cellStyle name="Commentaire" xfId="65" builtinId="53" customBuiltin="true"/>
    <cellStyle name="Entrée" xfId="66" builtinId="53" customBuiltin="true"/>
    <cellStyle name="Insatisfaisant" xfId="67" builtinId="53" customBuiltin="true"/>
    <cellStyle name="Neutre" xfId="68" builtinId="53" customBuiltin="true"/>
    <cellStyle name="Satisfaisant" xfId="69" builtinId="53" customBuiltin="true"/>
    <cellStyle name="Sortie" xfId="70" builtinId="53" customBuiltin="true"/>
    <cellStyle name="Style 1" xfId="71" builtinId="53" customBuiltin="true"/>
    <cellStyle name="Texte explicatif" xfId="72" builtinId="53" customBuiltin="true"/>
    <cellStyle name="Titre" xfId="73" builtinId="53" customBuiltin="true"/>
    <cellStyle name="Titre 1" xfId="74" builtinId="53" customBuiltin="true"/>
    <cellStyle name="Titre 2" xfId="75" builtinId="53" customBuiltin="true"/>
    <cellStyle name="Titre 3" xfId="76" builtinId="53" customBuiltin="true"/>
    <cellStyle name="Titre 4" xfId="77" builtinId="53" customBuiltin="true"/>
    <cellStyle name="Total" xfId="78" builtinId="53" customBuiltin="true"/>
    <cellStyle name="Vérification" xfId="79" builtinId="53" customBuiltin="true"/>
    <cellStyle name="*unknown*" xfId="20" builtinId="8" customBuiltin="false"/>
  </cellStyles>
  <dxfs count="12">
    <dxf>
      <font>
        <name val="Arial"/>
        <family val="0"/>
        <b val="1"/>
        <i val="0"/>
        <color rgb="FF008000"/>
      </font>
    </dxf>
    <dxf>
      <font>
        <name val="Arial"/>
        <family val="0"/>
        <b val="1"/>
        <i val="0"/>
        <color rgb="FF008000"/>
      </font>
    </dxf>
    <dxf>
      <font>
        <name val="Arial"/>
        <family val="0"/>
        <b val="1"/>
        <i val="0"/>
        <color rgb="FF008000"/>
      </font>
    </dxf>
    <dxf>
      <font>
        <name val="Arial"/>
        <family val="0"/>
        <color rgb="FF008000"/>
      </font>
    </dxf>
    <dxf>
      <font>
        <name val="Arial"/>
        <family val="0"/>
      </font>
      <border diagonalUp="false" diagonalDown="false">
        <left style="thin"/>
        <right style="thin"/>
        <top style="thin"/>
        <bottom style="thin"/>
        <diagonal/>
      </border>
    </dxf>
    <dxf>
      <font>
        <name val="Arial"/>
        <family val="0"/>
        <b val="1"/>
        <i val="0"/>
        <color rgb="FF008000"/>
      </font>
    </dxf>
    <dxf>
      <font>
        <name val="Arial"/>
        <family val="0"/>
      </font>
      <border diagonalUp="false" diagonalDown="false">
        <left style="thin"/>
        <right style="thin"/>
        <top style="thin"/>
        <bottom style="thin"/>
        <diagonal/>
      </border>
    </dxf>
    <dxf>
      <font>
        <name val="Arial"/>
        <family val="0"/>
        <b val="1"/>
        <i val="0"/>
        <color rgb="FF008000"/>
      </font>
    </dxf>
    <dxf>
      <font>
        <name val="Arial"/>
        <family val="0"/>
        <b val="1"/>
        <i val="0"/>
        <color rgb="FF008000"/>
      </font>
    </dxf>
    <dxf>
      <font>
        <name val="Arial"/>
        <family val="0"/>
        <b val="1"/>
        <i val="0"/>
        <color rgb="FF008000"/>
      </font>
    </dxf>
    <dxf>
      <font>
        <name val="Arial"/>
        <family val="0"/>
        <b val="1"/>
        <i val="0"/>
        <color rgb="FF008000"/>
      </font>
    </dxf>
    <dxf>
      <font>
        <name val="Arial"/>
        <family val="0"/>
        <b val="1"/>
        <i val="0"/>
        <color rgb="FF008000"/>
      </font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CC0000"/>
      <rgbColor rgb="FF008000"/>
      <rgbColor rgb="FF000080"/>
      <rgbColor rgb="FF9966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EE"/>
      <rgbColor rgb="FF00CCFF"/>
      <rgbColor rgb="FFFFCCCC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6600"/>
      <rgbColor rgb="FF4C4C4C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wmf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image" Target="../media/image2.jpeg"/><Relationship Id="rId2" Type="http://schemas.openxmlformats.org/officeDocument/2006/relationships/image" Target="../media/image3.png"/><Relationship Id="rId3" Type="http://schemas.openxmlformats.org/officeDocument/2006/relationships/image" Target="../media/image4.png"/><Relationship Id="rId4" Type="http://schemas.openxmlformats.org/officeDocument/2006/relationships/image" Target="../media/image5.png"/><Relationship Id="rId5" Type="http://schemas.openxmlformats.org/officeDocument/2006/relationships/image" Target="../media/image6.png"/><Relationship Id="rId6" Type="http://schemas.openxmlformats.org/officeDocument/2006/relationships/image" Target="../media/image7.png"/><Relationship Id="rId7" Type="http://schemas.openxmlformats.org/officeDocument/2006/relationships/image" Target="../media/image8.png"/><Relationship Id="rId8" Type="http://schemas.openxmlformats.org/officeDocument/2006/relationships/image" Target="../media/image9.png"/><Relationship Id="rId9" Type="http://schemas.openxmlformats.org/officeDocument/2006/relationships/image" Target="../media/image10.png"/><Relationship Id="rId10" Type="http://schemas.openxmlformats.org/officeDocument/2006/relationships/image" Target="../media/image11.png"/><Relationship Id="rId11" Type="http://schemas.openxmlformats.org/officeDocument/2006/relationships/image" Target="../media/image12.png"/><Relationship Id="rId12" Type="http://schemas.openxmlformats.org/officeDocument/2006/relationships/image" Target="../media/image13.png"/><Relationship Id="rId13" Type="http://schemas.openxmlformats.org/officeDocument/2006/relationships/image" Target="../media/image14.png"/><Relationship Id="rId14" Type="http://schemas.openxmlformats.org/officeDocument/2006/relationships/image" Target="../media/image15.png"/><Relationship Id="rId15" Type="http://schemas.openxmlformats.org/officeDocument/2006/relationships/image" Target="../media/image16.png"/>
</Relationships>
</file>

<file path=xl/drawings/_rels/drawing3.xml.rels><?xml version="1.0" encoding="UTF-8"?>
<Relationships xmlns="http://schemas.openxmlformats.org/package/2006/relationships"><Relationship Id="rId1" Type="http://schemas.openxmlformats.org/officeDocument/2006/relationships/image" Target="../media/image17.jpeg"/><Relationship Id="rId2" Type="http://schemas.openxmlformats.org/officeDocument/2006/relationships/image" Target="../media/image18.png"/><Relationship Id="rId3" Type="http://schemas.openxmlformats.org/officeDocument/2006/relationships/image" Target="../media/image19.png"/><Relationship Id="rId4" Type="http://schemas.openxmlformats.org/officeDocument/2006/relationships/image" Target="../media/image20.jpeg"/><Relationship Id="rId5" Type="http://schemas.openxmlformats.org/officeDocument/2006/relationships/image" Target="../media/image21.jpeg"/><Relationship Id="rId6" Type="http://schemas.openxmlformats.org/officeDocument/2006/relationships/image" Target="../media/image22.png"/><Relationship Id="rId7" Type="http://schemas.openxmlformats.org/officeDocument/2006/relationships/image" Target="../media/image23.jpeg"/><Relationship Id="rId8" Type="http://schemas.openxmlformats.org/officeDocument/2006/relationships/image" Target="../media/image24.jpeg"/><Relationship Id="rId9" Type="http://schemas.openxmlformats.org/officeDocument/2006/relationships/image" Target="../media/image25.jpeg"/><Relationship Id="rId10" Type="http://schemas.openxmlformats.org/officeDocument/2006/relationships/image" Target="../media/image26.jpe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120960</xdr:colOff>
      <xdr:row>0</xdr:row>
      <xdr:rowOff>29520</xdr:rowOff>
    </xdr:from>
    <xdr:to>
      <xdr:col>2</xdr:col>
      <xdr:colOff>111960</xdr:colOff>
      <xdr:row>5</xdr:row>
      <xdr:rowOff>162000</xdr:rowOff>
    </xdr:to>
    <xdr:pic>
      <xdr:nvPicPr>
        <xdr:cNvPr id="0" name="Image 1" descr="logo-avex_noir-full-fond_transparent.emf"/>
        <xdr:cNvPicPr/>
      </xdr:nvPicPr>
      <xdr:blipFill>
        <a:blip r:embed="rId1"/>
        <a:stretch/>
      </xdr:blipFill>
      <xdr:spPr>
        <a:xfrm>
          <a:off x="120960" y="29520"/>
          <a:ext cx="1569960" cy="147528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7</xdr:row>
      <xdr:rowOff>105120</xdr:rowOff>
    </xdr:from>
    <xdr:to>
      <xdr:col>1</xdr:col>
      <xdr:colOff>13320</xdr:colOff>
      <xdr:row>13</xdr:row>
      <xdr:rowOff>75960</xdr:rowOff>
    </xdr:to>
    <xdr:pic>
      <xdr:nvPicPr>
        <xdr:cNvPr id="1" name="Image 2" descr="aplogo-color-web2.jpg"/>
        <xdr:cNvPicPr/>
      </xdr:nvPicPr>
      <xdr:blipFill>
        <a:blip r:embed="rId1"/>
        <a:stretch/>
      </xdr:blipFill>
      <xdr:spPr>
        <a:xfrm>
          <a:off x="0" y="1400400"/>
          <a:ext cx="1955520" cy="9424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60840</xdr:colOff>
      <xdr:row>78</xdr:row>
      <xdr:rowOff>156600</xdr:rowOff>
    </xdr:from>
    <xdr:to>
      <xdr:col>0</xdr:col>
      <xdr:colOff>1914120</xdr:colOff>
      <xdr:row>85</xdr:row>
      <xdr:rowOff>143280</xdr:rowOff>
    </xdr:to>
    <xdr:pic>
      <xdr:nvPicPr>
        <xdr:cNvPr id="2" name="Image 6" descr="5.png"/>
        <xdr:cNvPicPr/>
      </xdr:nvPicPr>
      <xdr:blipFill>
        <a:blip r:embed="rId2"/>
        <a:stretch/>
      </xdr:blipFill>
      <xdr:spPr>
        <a:xfrm>
          <a:off x="60840" y="12948480"/>
          <a:ext cx="1853280" cy="1120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60840</xdr:colOff>
      <xdr:row>1</xdr:row>
      <xdr:rowOff>140040</xdr:rowOff>
    </xdr:from>
    <xdr:to>
      <xdr:col>0</xdr:col>
      <xdr:colOff>1874160</xdr:colOff>
      <xdr:row>5</xdr:row>
      <xdr:rowOff>153360</xdr:rowOff>
    </xdr:to>
    <xdr:pic>
      <xdr:nvPicPr>
        <xdr:cNvPr id="3" name="Picture 60" descr=""/>
        <xdr:cNvPicPr/>
      </xdr:nvPicPr>
      <xdr:blipFill>
        <a:blip r:embed="rId3"/>
        <a:stretch/>
      </xdr:blipFill>
      <xdr:spPr>
        <a:xfrm>
          <a:off x="60840" y="463680"/>
          <a:ext cx="1813320" cy="6609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0</xdr:colOff>
      <xdr:row>25</xdr:row>
      <xdr:rowOff>102240</xdr:rowOff>
    </xdr:from>
    <xdr:to>
      <xdr:col>1</xdr:col>
      <xdr:colOff>2520</xdr:colOff>
      <xdr:row>28</xdr:row>
      <xdr:rowOff>10440</xdr:rowOff>
    </xdr:to>
    <xdr:pic>
      <xdr:nvPicPr>
        <xdr:cNvPr id="4" name="Picture 61" descr=""/>
        <xdr:cNvPicPr/>
      </xdr:nvPicPr>
      <xdr:blipFill>
        <a:blip r:embed="rId4"/>
        <a:stretch/>
      </xdr:blipFill>
      <xdr:spPr>
        <a:xfrm>
          <a:off x="0" y="4312080"/>
          <a:ext cx="1944720" cy="39384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9360</xdr:colOff>
      <xdr:row>36</xdr:row>
      <xdr:rowOff>56880</xdr:rowOff>
    </xdr:from>
    <xdr:to>
      <xdr:col>0</xdr:col>
      <xdr:colOff>1904400</xdr:colOff>
      <xdr:row>39</xdr:row>
      <xdr:rowOff>124920</xdr:rowOff>
    </xdr:to>
    <xdr:pic>
      <xdr:nvPicPr>
        <xdr:cNvPr id="5" name="Picture 62" descr=""/>
        <xdr:cNvPicPr/>
      </xdr:nvPicPr>
      <xdr:blipFill>
        <a:blip r:embed="rId5"/>
        <a:stretch/>
      </xdr:blipFill>
      <xdr:spPr>
        <a:xfrm>
          <a:off x="9360" y="6048000"/>
          <a:ext cx="1895040" cy="553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51120</xdr:colOff>
      <xdr:row>59</xdr:row>
      <xdr:rowOff>6840</xdr:rowOff>
    </xdr:from>
    <xdr:to>
      <xdr:col>0</xdr:col>
      <xdr:colOff>1864800</xdr:colOff>
      <xdr:row>65</xdr:row>
      <xdr:rowOff>56880</xdr:rowOff>
    </xdr:to>
    <xdr:pic>
      <xdr:nvPicPr>
        <xdr:cNvPr id="6" name="Picture 63" descr=""/>
        <xdr:cNvPicPr/>
      </xdr:nvPicPr>
      <xdr:blipFill>
        <a:blip r:embed="rId6"/>
        <a:stretch/>
      </xdr:blipFill>
      <xdr:spPr>
        <a:xfrm>
          <a:off x="51120" y="9722160"/>
          <a:ext cx="1813680" cy="1021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633600</xdr:colOff>
      <xdr:row>94</xdr:row>
      <xdr:rowOff>155160</xdr:rowOff>
    </xdr:from>
    <xdr:to>
      <xdr:col>0</xdr:col>
      <xdr:colOff>1329840</xdr:colOff>
      <xdr:row>98</xdr:row>
      <xdr:rowOff>161640</xdr:rowOff>
    </xdr:to>
    <xdr:pic>
      <xdr:nvPicPr>
        <xdr:cNvPr id="7" name="Picture 65" descr=""/>
        <xdr:cNvPicPr/>
      </xdr:nvPicPr>
      <xdr:blipFill>
        <a:blip r:embed="rId7"/>
        <a:stretch/>
      </xdr:blipFill>
      <xdr:spPr>
        <a:xfrm>
          <a:off x="633600" y="15537960"/>
          <a:ext cx="696240" cy="6541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60840</xdr:colOff>
      <xdr:row>100</xdr:row>
      <xdr:rowOff>73080</xdr:rowOff>
    </xdr:from>
    <xdr:to>
      <xdr:col>0</xdr:col>
      <xdr:colOff>1883520</xdr:colOff>
      <xdr:row>103</xdr:row>
      <xdr:rowOff>133920</xdr:rowOff>
    </xdr:to>
    <xdr:pic>
      <xdr:nvPicPr>
        <xdr:cNvPr id="8" name="Picture 66" descr=""/>
        <xdr:cNvPicPr/>
      </xdr:nvPicPr>
      <xdr:blipFill>
        <a:blip r:embed="rId8"/>
        <a:stretch/>
      </xdr:blipFill>
      <xdr:spPr>
        <a:xfrm>
          <a:off x="60840" y="16427160"/>
          <a:ext cx="1822680" cy="54684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815760</xdr:colOff>
      <xdr:row>105</xdr:row>
      <xdr:rowOff>16200</xdr:rowOff>
    </xdr:from>
    <xdr:to>
      <xdr:col>0</xdr:col>
      <xdr:colOff>1621800</xdr:colOff>
      <xdr:row>107</xdr:row>
      <xdr:rowOff>162000</xdr:rowOff>
    </xdr:to>
    <xdr:pic>
      <xdr:nvPicPr>
        <xdr:cNvPr id="9" name="Picture 67" descr=""/>
        <xdr:cNvPicPr/>
      </xdr:nvPicPr>
      <xdr:blipFill>
        <a:blip r:embed="rId9"/>
        <a:stretch/>
      </xdr:blipFill>
      <xdr:spPr>
        <a:xfrm>
          <a:off x="815760" y="17179920"/>
          <a:ext cx="806040" cy="46980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39960</xdr:colOff>
      <xdr:row>112</xdr:row>
      <xdr:rowOff>66600</xdr:rowOff>
    </xdr:from>
    <xdr:to>
      <xdr:col>0</xdr:col>
      <xdr:colOff>1893240</xdr:colOff>
      <xdr:row>117</xdr:row>
      <xdr:rowOff>66600</xdr:rowOff>
    </xdr:to>
    <xdr:pic>
      <xdr:nvPicPr>
        <xdr:cNvPr id="10" name="Picture 70" descr=""/>
        <xdr:cNvPicPr/>
      </xdr:nvPicPr>
      <xdr:blipFill>
        <a:blip r:embed="rId10"/>
        <a:stretch/>
      </xdr:blipFill>
      <xdr:spPr>
        <a:xfrm>
          <a:off x="39960" y="18363960"/>
          <a:ext cx="1853280" cy="80964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271440</xdr:colOff>
      <xdr:row>131</xdr:row>
      <xdr:rowOff>90000</xdr:rowOff>
    </xdr:from>
    <xdr:to>
      <xdr:col>0</xdr:col>
      <xdr:colOff>1682640</xdr:colOff>
      <xdr:row>133</xdr:row>
      <xdr:rowOff>57240</xdr:rowOff>
    </xdr:to>
    <xdr:pic>
      <xdr:nvPicPr>
        <xdr:cNvPr id="11" name="Picture 72" descr=""/>
        <xdr:cNvPicPr/>
      </xdr:nvPicPr>
      <xdr:blipFill>
        <a:blip r:embed="rId11"/>
        <a:srcRect l="0" t="39081" r="0" b="39081"/>
        <a:stretch/>
      </xdr:blipFill>
      <xdr:spPr>
        <a:xfrm>
          <a:off x="271440" y="21463920"/>
          <a:ext cx="1411200" cy="29124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231480</xdr:colOff>
      <xdr:row>122</xdr:row>
      <xdr:rowOff>37800</xdr:rowOff>
    </xdr:from>
    <xdr:to>
      <xdr:col>0</xdr:col>
      <xdr:colOff>1773720</xdr:colOff>
      <xdr:row>126</xdr:row>
      <xdr:rowOff>96120</xdr:rowOff>
    </xdr:to>
    <xdr:pic>
      <xdr:nvPicPr>
        <xdr:cNvPr id="12" name="Picture 75" descr="WO_Logo"/>
        <xdr:cNvPicPr/>
      </xdr:nvPicPr>
      <xdr:blipFill>
        <a:blip r:embed="rId12"/>
        <a:srcRect l="1774" t="11798" r="3562" b="12400"/>
        <a:stretch/>
      </xdr:blipFill>
      <xdr:spPr>
        <a:xfrm>
          <a:off x="231480" y="19954440"/>
          <a:ext cx="1542240" cy="7059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0</xdr:colOff>
      <xdr:row>47</xdr:row>
      <xdr:rowOff>142920</xdr:rowOff>
    </xdr:from>
    <xdr:to>
      <xdr:col>1</xdr:col>
      <xdr:colOff>2520</xdr:colOff>
      <xdr:row>51</xdr:row>
      <xdr:rowOff>47520</xdr:rowOff>
    </xdr:to>
    <xdr:pic>
      <xdr:nvPicPr>
        <xdr:cNvPr id="13" name="Picture 79" descr=""/>
        <xdr:cNvPicPr/>
      </xdr:nvPicPr>
      <xdr:blipFill>
        <a:blip r:embed="rId13"/>
        <a:stretch/>
      </xdr:blipFill>
      <xdr:spPr>
        <a:xfrm>
          <a:off x="0" y="7915320"/>
          <a:ext cx="1944720" cy="55224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0</xdr:colOff>
      <xdr:row>18</xdr:row>
      <xdr:rowOff>114480</xdr:rowOff>
    </xdr:from>
    <xdr:to>
      <xdr:col>0</xdr:col>
      <xdr:colOff>1923480</xdr:colOff>
      <xdr:row>20</xdr:row>
      <xdr:rowOff>153360</xdr:rowOff>
    </xdr:to>
    <xdr:pic>
      <xdr:nvPicPr>
        <xdr:cNvPr id="14" name="Picture 80" descr="Astro-Tech_Logo"/>
        <xdr:cNvPicPr/>
      </xdr:nvPicPr>
      <xdr:blipFill>
        <a:blip r:embed="rId14"/>
        <a:stretch/>
      </xdr:blipFill>
      <xdr:spPr>
        <a:xfrm>
          <a:off x="0" y="3191040"/>
          <a:ext cx="1923480" cy="3625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352800</xdr:colOff>
      <xdr:row>30</xdr:row>
      <xdr:rowOff>16200</xdr:rowOff>
    </xdr:from>
    <xdr:to>
      <xdr:col>0</xdr:col>
      <xdr:colOff>1460520</xdr:colOff>
      <xdr:row>33</xdr:row>
      <xdr:rowOff>153360</xdr:rowOff>
    </xdr:to>
    <xdr:pic>
      <xdr:nvPicPr>
        <xdr:cNvPr id="15" name="Picture 82" descr="GSO_Logo"/>
        <xdr:cNvPicPr/>
      </xdr:nvPicPr>
      <xdr:blipFill>
        <a:blip r:embed="rId15"/>
        <a:stretch/>
      </xdr:blipFill>
      <xdr:spPr>
        <a:xfrm>
          <a:off x="352800" y="5035680"/>
          <a:ext cx="1107720" cy="62280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2</xdr:row>
      <xdr:rowOff>69840</xdr:rowOff>
    </xdr:from>
    <xdr:to>
      <xdr:col>0</xdr:col>
      <xdr:colOff>1310040</xdr:colOff>
      <xdr:row>5</xdr:row>
      <xdr:rowOff>38880</xdr:rowOff>
    </xdr:to>
    <xdr:pic>
      <xdr:nvPicPr>
        <xdr:cNvPr id="16" name="Image 1" descr="atik_logo.jpg"/>
        <xdr:cNvPicPr/>
      </xdr:nvPicPr>
      <xdr:blipFill>
        <a:blip r:embed="rId1"/>
        <a:stretch/>
      </xdr:blipFill>
      <xdr:spPr>
        <a:xfrm>
          <a:off x="0" y="393480"/>
          <a:ext cx="1310040" cy="454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0</xdr:colOff>
      <xdr:row>8</xdr:row>
      <xdr:rowOff>118440</xdr:rowOff>
    </xdr:from>
    <xdr:to>
      <xdr:col>0</xdr:col>
      <xdr:colOff>1299240</xdr:colOff>
      <xdr:row>10</xdr:row>
      <xdr:rowOff>76680</xdr:rowOff>
    </xdr:to>
    <xdr:pic>
      <xdr:nvPicPr>
        <xdr:cNvPr id="17" name="Image 2" descr="h_logo.gif"/>
        <xdr:cNvPicPr/>
      </xdr:nvPicPr>
      <xdr:blipFill>
        <a:blip r:embed="rId2"/>
        <a:stretch/>
      </xdr:blipFill>
      <xdr:spPr>
        <a:xfrm>
          <a:off x="0" y="1413720"/>
          <a:ext cx="1299240" cy="2818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60120</xdr:colOff>
      <xdr:row>20</xdr:row>
      <xdr:rowOff>25920</xdr:rowOff>
    </xdr:from>
    <xdr:to>
      <xdr:col>0</xdr:col>
      <xdr:colOff>1289520</xdr:colOff>
      <xdr:row>26</xdr:row>
      <xdr:rowOff>143640</xdr:rowOff>
    </xdr:to>
    <xdr:pic>
      <xdr:nvPicPr>
        <xdr:cNvPr id="18" name="Image 3" descr="logo_canon_resize.png"/>
        <xdr:cNvPicPr/>
      </xdr:nvPicPr>
      <xdr:blipFill>
        <a:blip r:embed="rId3"/>
        <a:stretch/>
      </xdr:blipFill>
      <xdr:spPr>
        <a:xfrm>
          <a:off x="60120" y="3264120"/>
          <a:ext cx="1229400" cy="10893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0</xdr:colOff>
      <xdr:row>36</xdr:row>
      <xdr:rowOff>69840</xdr:rowOff>
    </xdr:from>
    <xdr:to>
      <xdr:col>0</xdr:col>
      <xdr:colOff>1340280</xdr:colOff>
      <xdr:row>38</xdr:row>
      <xdr:rowOff>47520</xdr:rowOff>
    </xdr:to>
    <xdr:pic>
      <xdr:nvPicPr>
        <xdr:cNvPr id="19" name="Image 4" descr="Lumenera-ColorLogoForScreen-LowRestm.jpg"/>
        <xdr:cNvPicPr/>
      </xdr:nvPicPr>
      <xdr:blipFill>
        <a:blip r:embed="rId4"/>
        <a:stretch/>
      </xdr:blipFill>
      <xdr:spPr>
        <a:xfrm>
          <a:off x="0" y="5898960"/>
          <a:ext cx="1340280" cy="301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9720</xdr:colOff>
      <xdr:row>46</xdr:row>
      <xdr:rowOff>95760</xdr:rowOff>
    </xdr:from>
    <xdr:to>
      <xdr:col>0</xdr:col>
      <xdr:colOff>1329120</xdr:colOff>
      <xdr:row>54</xdr:row>
      <xdr:rowOff>48240</xdr:rowOff>
    </xdr:to>
    <xdr:pic>
      <xdr:nvPicPr>
        <xdr:cNvPr id="20" name="Image 5" descr="nikon_logo.jpg"/>
        <xdr:cNvPicPr/>
      </xdr:nvPicPr>
      <xdr:blipFill>
        <a:blip r:embed="rId5"/>
        <a:stretch/>
      </xdr:blipFill>
      <xdr:spPr>
        <a:xfrm>
          <a:off x="9720" y="7544160"/>
          <a:ext cx="1319400" cy="1247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70920</xdr:colOff>
      <xdr:row>63</xdr:row>
      <xdr:rowOff>79200</xdr:rowOff>
    </xdr:from>
    <xdr:to>
      <xdr:col>0</xdr:col>
      <xdr:colOff>1269000</xdr:colOff>
      <xdr:row>66</xdr:row>
      <xdr:rowOff>105120</xdr:rowOff>
    </xdr:to>
    <xdr:pic>
      <xdr:nvPicPr>
        <xdr:cNvPr id="21" name="Image 6" descr="qsilogo45.gif"/>
        <xdr:cNvPicPr/>
      </xdr:nvPicPr>
      <xdr:blipFill>
        <a:blip r:embed="rId6"/>
        <a:srcRect l="33488" t="0" r="0" b="0"/>
        <a:stretch/>
      </xdr:blipFill>
      <xdr:spPr>
        <a:xfrm>
          <a:off x="70920" y="10280160"/>
          <a:ext cx="1198080" cy="5119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0</xdr:colOff>
      <xdr:row>73</xdr:row>
      <xdr:rowOff>6840</xdr:rowOff>
    </xdr:from>
    <xdr:to>
      <xdr:col>0</xdr:col>
      <xdr:colOff>1370160</xdr:colOff>
      <xdr:row>80</xdr:row>
      <xdr:rowOff>38160</xdr:rowOff>
    </xdr:to>
    <xdr:pic>
      <xdr:nvPicPr>
        <xdr:cNvPr id="22" name="Image 7" descr="sbig.jpg"/>
        <xdr:cNvPicPr/>
      </xdr:nvPicPr>
      <xdr:blipFill>
        <a:blip r:embed="rId7"/>
        <a:stretch/>
      </xdr:blipFill>
      <xdr:spPr>
        <a:xfrm>
          <a:off x="0" y="11827080"/>
          <a:ext cx="1370160" cy="11649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20520</xdr:colOff>
      <xdr:row>84</xdr:row>
      <xdr:rowOff>140760</xdr:rowOff>
    </xdr:from>
    <xdr:to>
      <xdr:col>0</xdr:col>
      <xdr:colOff>1349640</xdr:colOff>
      <xdr:row>87</xdr:row>
      <xdr:rowOff>134280</xdr:rowOff>
    </xdr:to>
    <xdr:pic>
      <xdr:nvPicPr>
        <xdr:cNvPr id="23" name="Image 8" descr="logo.jpg"/>
        <xdr:cNvPicPr/>
      </xdr:nvPicPr>
      <xdr:blipFill>
        <a:blip r:embed="rId8"/>
        <a:stretch/>
      </xdr:blipFill>
      <xdr:spPr>
        <a:xfrm>
          <a:off x="20520" y="13742280"/>
          <a:ext cx="1329120" cy="4791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0</xdr:colOff>
      <xdr:row>90</xdr:row>
      <xdr:rowOff>152640</xdr:rowOff>
    </xdr:from>
    <xdr:to>
      <xdr:col>0</xdr:col>
      <xdr:colOff>1370160</xdr:colOff>
      <xdr:row>93</xdr:row>
      <xdr:rowOff>10800</xdr:rowOff>
    </xdr:to>
    <xdr:pic>
      <xdr:nvPicPr>
        <xdr:cNvPr id="24" name="Image 9" descr="logo-starlight-esc.jpg"/>
        <xdr:cNvPicPr/>
      </xdr:nvPicPr>
      <xdr:blipFill>
        <a:blip r:embed="rId9"/>
        <a:stretch/>
      </xdr:blipFill>
      <xdr:spPr>
        <a:xfrm>
          <a:off x="0" y="14725800"/>
          <a:ext cx="1370160" cy="34380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0</xdr:colOff>
      <xdr:row>97</xdr:row>
      <xdr:rowOff>69840</xdr:rowOff>
    </xdr:from>
    <xdr:to>
      <xdr:col>0</xdr:col>
      <xdr:colOff>1370160</xdr:colOff>
      <xdr:row>98</xdr:row>
      <xdr:rowOff>86760</xdr:rowOff>
    </xdr:to>
    <xdr:pic>
      <xdr:nvPicPr>
        <xdr:cNvPr id="25" name="Image 10" descr="TIS_Astro_Cams_Logo_475x67.jpg"/>
        <xdr:cNvPicPr/>
      </xdr:nvPicPr>
      <xdr:blipFill>
        <a:blip r:embed="rId10"/>
        <a:stretch/>
      </xdr:blipFill>
      <xdr:spPr>
        <a:xfrm>
          <a:off x="0" y="15776280"/>
          <a:ext cx="1370160" cy="178920"/>
        </a:xfrm>
        <a:prstGeom prst="rect">
          <a:avLst/>
        </a:prstGeom>
        <a:ln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://fr.wikipedia.org/wiki/Th&#233;or&#232;me_d%27&#233;chantillonnage_de_Nyquist-Shannon" TargetMode="External"/><Relationship Id="rId2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hyperlink" Target="https://www.qhyccd.com/index.php?m=content&amp;c=index&amp;a=show&amp;catid=95&amp;id=20" TargetMode="External"/><Relationship Id="rId2" Type="http://schemas.openxmlformats.org/officeDocument/2006/relationships/hyperlink" Target="https://www.qhyccd.com/index.php?m=content&amp;c=index&amp;a=show&amp;catid=95&amp;id=17" TargetMode="External"/><Relationship Id="rId3" Type="http://schemas.openxmlformats.org/officeDocument/2006/relationships/hyperlink" Target="https://www.qhyccd.com/index.php?m=content&amp;c=index&amp;a=show&amp;catid=95&amp;id=18" TargetMode="External"/><Relationship Id="rId4" Type="http://schemas.openxmlformats.org/officeDocument/2006/relationships/hyperlink" Target="https://www.qhyccd.com/index.php?m=content&amp;c=index&amp;a=show&amp;catid=95&amp;id=21" TargetMode="External"/><Relationship Id="rId5" Type="http://schemas.openxmlformats.org/officeDocument/2006/relationships/hyperlink" Target="https://www.qhyccd.com/index.php?m=content&amp;c=index&amp;a=show&amp;catid=95&amp;id=22" TargetMode="External"/><Relationship Id="rId6" Type="http://schemas.openxmlformats.org/officeDocument/2006/relationships/hyperlink" Target="https://www.qhyccd.com/index.php?m=content&amp;c=index&amp;a=show&amp;catid=134&amp;id=24" TargetMode="External"/><Relationship Id="rId7" Type="http://schemas.openxmlformats.org/officeDocument/2006/relationships/hyperlink" Target="https://www.qhyccd.com/index.php?m=content&amp;c=index&amp;a=show&amp;catid=134&amp;id=24" TargetMode="External"/><Relationship Id="rId8" Type="http://schemas.openxmlformats.org/officeDocument/2006/relationships/hyperlink" Target="https://www.qhyccd.com/index.php?m=content&amp;c=index&amp;a=show&amp;catid=134&amp;id=24" TargetMode="External"/><Relationship Id="rId9" Type="http://schemas.openxmlformats.org/officeDocument/2006/relationships/hyperlink" Target="https://www.qhyccd.com/index.php?m=content&amp;c=index&amp;a=show&amp;catid=134&amp;id=27" TargetMode="External"/><Relationship Id="rId10" Type="http://schemas.openxmlformats.org/officeDocument/2006/relationships/hyperlink" Target="https://www.qhyccd.com/index.php?m=content&amp;c=index&amp;a=show&amp;catid=134&amp;id=25" TargetMode="External"/><Relationship Id="rId11" Type="http://schemas.openxmlformats.org/officeDocument/2006/relationships/hyperlink" Target="https://www.qhyccd.com/index.php?m=content&amp;c=index&amp;a=show&amp;catid=134&amp;id=26" TargetMode="External"/><Relationship Id="rId12" Type="http://schemas.openxmlformats.org/officeDocument/2006/relationships/hyperlink" Target="https://www.qhyccd.com/index.php?m=content&amp;c=index&amp;a=show&amp;catid=134&amp;id=28" TargetMode="External"/><Relationship Id="rId13" Type="http://schemas.openxmlformats.org/officeDocument/2006/relationships/hyperlink" Target="https://www.qhyccd.com/index.php?m=content&amp;c=index&amp;a=show&amp;catid=134&amp;id=28" TargetMode="External"/><Relationship Id="rId14" Type="http://schemas.openxmlformats.org/officeDocument/2006/relationships/hyperlink" Target="https://www.qhyccd.com/index.php?m=content&amp;c=index&amp;a=show&amp;catid=134&amp;id=28" TargetMode="External"/><Relationship Id="rId15" Type="http://schemas.openxmlformats.org/officeDocument/2006/relationships/hyperlink" Target="https://www.qhyccd.com/index.php?m=content&amp;c=index&amp;a=show&amp;catid=134&amp;id=29" TargetMode="External"/><Relationship Id="rId16" Type="http://schemas.openxmlformats.org/officeDocument/2006/relationships/hyperlink" Target="https://www.qhyccd.com/index.php?m=content&amp;c=index&amp;a=show&amp;catid=134&amp;id=29" TargetMode="External"/><Relationship Id="rId17" Type="http://schemas.openxmlformats.org/officeDocument/2006/relationships/hyperlink" Target="https://www.qhyccd.com/index.php?m=content&amp;c=index&amp;a=show&amp;catid=134&amp;id=29" TargetMode="External"/><Relationship Id="rId18" Type="http://schemas.openxmlformats.org/officeDocument/2006/relationships/hyperlink" Target="https://www.qhyccd.com/index.php?m=content&amp;c=index&amp;a=show&amp;catid=94&amp;id=16" TargetMode="External"/><Relationship Id="rId19" Type="http://schemas.openxmlformats.org/officeDocument/2006/relationships/hyperlink" Target="https://www.qhyccd.com/index.php?m=content&amp;c=index&amp;a=show&amp;catid=94&amp;id=15" TargetMode="External"/><Relationship Id="rId20" Type="http://schemas.openxmlformats.org/officeDocument/2006/relationships/hyperlink" Target="https://www.qhyccd.com/index.php?m=content&amp;c=index&amp;a=show&amp;catid=94&amp;id=9" TargetMode="External"/><Relationship Id="rId21" Type="http://schemas.openxmlformats.org/officeDocument/2006/relationships/hyperlink" Target="https://www.qhyccd.com/index.php?m=content&amp;c=index&amp;a=show&amp;catid=94&amp;id=13" TargetMode="External"/><Relationship Id="rId22" Type="http://schemas.openxmlformats.org/officeDocument/2006/relationships/hyperlink" Target="https://www.qhyccd.com/index.php?m=content&amp;c=index&amp;a=show&amp;catid=94&amp;id=14" TargetMode="External"/><Relationship Id="rId23" Type="http://schemas.openxmlformats.org/officeDocument/2006/relationships/hyperlink" Target="https://www.qhyccd.com/index.php?m=content&amp;c=index&amp;a=show&amp;catid=94&amp;id=12" TargetMode="External"/><Relationship Id="rId24" Type="http://schemas.openxmlformats.org/officeDocument/2006/relationships/hyperlink" Target="https://www.qhyccd.com/index.php?m=content&amp;c=index&amp;a=show&amp;catid=94&amp;id=10" TargetMode="External"/><Relationship Id="rId25" Type="http://schemas.openxmlformats.org/officeDocument/2006/relationships/hyperlink" Target="https://www.qhyccd.com/index.php?m=content&amp;c=index&amp;a=show&amp;catid=94&amp;id=46" TargetMode="External"/><Relationship Id="rId26" Type="http://schemas.openxmlformats.org/officeDocument/2006/relationships/hyperlink" Target="https://www.qhyccd.com/index.php?m=content&amp;c=index&amp;a=show&amp;catid=94&amp;id=42" TargetMode="External"/><Relationship Id="rId27" Type="http://schemas.openxmlformats.org/officeDocument/2006/relationships/hyperlink" Target="https://www.qhyccd.com/index.php?m=content&amp;c=index&amp;a=show&amp;catid=94&amp;id=42" TargetMode="External"/><Relationship Id="rId28" Type="http://schemas.openxmlformats.org/officeDocument/2006/relationships/hyperlink" Target="https://www.qhyccd.com/index.php?m=content&amp;c=index&amp;a=show&amp;catid=94&amp;id=42" TargetMode="External"/><Relationship Id="rId29" Type="http://schemas.openxmlformats.org/officeDocument/2006/relationships/hyperlink" Target="https://www.qhyccd.com/index.php?m=content&amp;c=index&amp;a=show&amp;catid=133&amp;id=7" TargetMode="External"/><Relationship Id="rId30" Type="http://schemas.openxmlformats.org/officeDocument/2006/relationships/hyperlink" Target="https://www.qhyccd.com/index.php?m=content&amp;c=index&amp;a=show&amp;catid=133&amp;id=7" TargetMode="External"/><Relationship Id="rId31" Type="http://schemas.openxmlformats.org/officeDocument/2006/relationships/hyperlink" Target="https://www.qhyccd.com/index.php?m=content&amp;c=index&amp;a=show&amp;catid=133&amp;id=7" TargetMode="External"/><Relationship Id="rId32" Type="http://schemas.openxmlformats.org/officeDocument/2006/relationships/hyperlink" Target="https://www.qhyccd.com/index.php?m=content&amp;c=index&amp;a=show&amp;catid=133&amp;id=7" TargetMode="External"/><Relationship Id="rId33" Type="http://schemas.openxmlformats.org/officeDocument/2006/relationships/hyperlink" Target="https://www.qhyccd.com/index.php?m=content&amp;c=index&amp;a=show&amp;catid=133&amp;id=7" TargetMode="External"/><Relationship Id="rId34" Type="http://schemas.openxmlformats.org/officeDocument/2006/relationships/hyperlink" Target="https://www.qhyccd.com/index.php?m=content&amp;c=index&amp;a=show&amp;catid=133&amp;id=8" TargetMode="External"/><Relationship Id="rId35" Type="http://schemas.openxmlformats.org/officeDocument/2006/relationships/hyperlink" Target="https://www.qhyccd.com/index.php?m=content&amp;c=index&amp;a=show&amp;catid=133&amp;id=8" TargetMode="External"/><Relationship Id="rId36" Type="http://schemas.openxmlformats.org/officeDocument/2006/relationships/hyperlink" Target="https://www.qhyccd.com/index.php?m=content&amp;c=index&amp;a=show&amp;catid=133&amp;id=8" TargetMode="External"/><Relationship Id="rId37" Type="http://schemas.openxmlformats.org/officeDocument/2006/relationships/hyperlink" Target="https://www.qhyccd.com/index.php?m=content&amp;c=index&amp;a=show&amp;catid=133&amp;id=8" TargetMode="External"/><Relationship Id="rId38" Type="http://schemas.openxmlformats.org/officeDocument/2006/relationships/hyperlink" Target="https://www.qhyccd.com/index.php?m=content&amp;c=index&amp;a=show&amp;catid=133&amp;id=8" TargetMode="External"/><Relationship Id="rId39" Type="http://schemas.openxmlformats.org/officeDocument/2006/relationships/hyperlink" Target="https://www.qhyccd.com/index.php?m=content&amp;c=index&amp;a=show&amp;catid=135&amp;id=30" TargetMode="External"/><Relationship Id="rId40" Type="http://schemas.openxmlformats.org/officeDocument/2006/relationships/hyperlink" Target="https://www.qhyccd.com/index.php?m=content&amp;c=index&amp;a=show&amp;catid=135&amp;id=31" TargetMode="External"/><Relationship Id="rId41" Type="http://schemas.openxmlformats.org/officeDocument/2006/relationships/hyperlink" Target="https://www.qhyccd.com/index.php?m=content&amp;c=index&amp;a=show&amp;catid=138&amp;id=47" TargetMode="External"/><Relationship Id="rId42" Type="http://schemas.openxmlformats.org/officeDocument/2006/relationships/hyperlink" Target="https://www.qhyccd.com/index.php?m=content&amp;c=index&amp;a=show&amp;catid=138&amp;id=48" TargetMode="External"/><Relationship Id="rId43" Type="http://schemas.openxmlformats.org/officeDocument/2006/relationships/drawing" Target="../drawings/drawing3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W48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C9" activeCellId="0" sqref="C9"/>
    </sheetView>
  </sheetViews>
  <sheetFormatPr defaultRowHeight="12.75" zeroHeight="false" outlineLevelRow="0" outlineLevelCol="0"/>
  <cols>
    <col collapsed="false" customWidth="true" hidden="false" outlineLevel="0" max="1" min="1" style="1" width="11.4"/>
    <col collapsed="false" customWidth="true" hidden="false" outlineLevel="0" max="2" min="2" style="1" width="10.98"/>
    <col collapsed="false" customWidth="true" hidden="false" outlineLevel="0" max="3" min="3" style="2" width="10.27"/>
    <col collapsed="false" customWidth="true" hidden="false" outlineLevel="0" max="4" min="4" style="2" width="9.4"/>
    <col collapsed="false" customWidth="true" hidden="false" outlineLevel="0" max="6" min="5" style="1" width="11.69"/>
    <col collapsed="false" customWidth="true" hidden="false" outlineLevel="0" max="7" min="7" style="1" width="10.69"/>
    <col collapsed="false" customWidth="true" hidden="false" outlineLevel="0" max="9" min="8" style="1" width="8.69"/>
    <col collapsed="false" customWidth="true" hidden="false" outlineLevel="0" max="10" min="10" style="1" width="11.69"/>
    <col collapsed="false" customWidth="true" hidden="false" outlineLevel="0" max="12" min="11" style="1" width="10.12"/>
    <col collapsed="false" customWidth="true" hidden="false" outlineLevel="0" max="14" min="13" style="1" width="8.69"/>
    <col collapsed="false" customWidth="true" hidden="false" outlineLevel="0" max="15" min="15" style="1" width="4.28"/>
    <col collapsed="false" customWidth="true" hidden="false" outlineLevel="0" max="18" min="16" style="1" width="15.68"/>
    <col collapsed="false" customWidth="true" hidden="false" outlineLevel="0" max="21" min="19" style="1" width="4.7"/>
    <col collapsed="false" customWidth="true" hidden="false" outlineLevel="0" max="22" min="22" style="1" width="8.27"/>
    <col collapsed="false" customWidth="true" hidden="false" outlineLevel="0" max="257" min="23" style="1" width="11.4"/>
    <col collapsed="false" customWidth="true" hidden="false" outlineLevel="0" max="1025" min="258" style="0" width="11.4"/>
  </cols>
  <sheetData>
    <row r="1" customFormat="false" ht="49.5" hidden="false" customHeight="true" outlineLevel="0" collapsed="false">
      <c r="C1" s="3" t="s">
        <v>0</v>
      </c>
      <c r="D1" s="4" t="s">
        <v>1</v>
      </c>
      <c r="E1" s="4"/>
      <c r="F1" s="4"/>
      <c r="G1" s="4"/>
      <c r="H1" s="4"/>
      <c r="I1" s="4"/>
      <c r="J1" s="4"/>
      <c r="K1" s="4"/>
      <c r="L1" s="4"/>
      <c r="M1" s="4"/>
      <c r="N1" s="4"/>
      <c r="O1" s="5"/>
      <c r="P1" s="6"/>
      <c r="Q1" s="6"/>
    </row>
    <row r="2" customFormat="false" ht="12.75" hidden="false" customHeight="false" outlineLevel="0" collapsed="false">
      <c r="C2" s="7" t="s">
        <v>2</v>
      </c>
      <c r="D2" s="7"/>
      <c r="E2" s="7"/>
      <c r="F2" s="7"/>
      <c r="G2" s="7"/>
    </row>
    <row r="3" customFormat="false" ht="12.75" hidden="false" customHeight="false" outlineLevel="0" collapsed="false">
      <c r="C3" s="8" t="s">
        <v>3</v>
      </c>
      <c r="D3" s="8"/>
      <c r="E3" s="8"/>
      <c r="F3" s="8"/>
      <c r="G3" s="8"/>
    </row>
    <row r="4" customFormat="false" ht="12.75" hidden="false" customHeight="false" outlineLevel="0" collapsed="false">
      <c r="C4" s="9"/>
      <c r="D4" s="9"/>
      <c r="E4" s="9"/>
      <c r="F4" s="9"/>
      <c r="G4" s="9"/>
      <c r="H4" s="9"/>
      <c r="I4" s="9"/>
      <c r="K4" s="9"/>
      <c r="L4" s="9"/>
      <c r="M4" s="9"/>
      <c r="N4" s="9"/>
      <c r="O4" s="9"/>
      <c r="P4" s="9"/>
      <c r="Q4" s="9"/>
      <c r="R4" s="9"/>
    </row>
    <row r="5" customFormat="false" ht="18" hidden="false" customHeight="false" outlineLevel="0" collapsed="false">
      <c r="C5" s="10" t="s">
        <v>4</v>
      </c>
      <c r="D5" s="9"/>
      <c r="E5" s="11"/>
      <c r="F5" s="11"/>
      <c r="G5" s="11"/>
      <c r="H5" s="11"/>
      <c r="I5" s="11"/>
      <c r="K5" s="11"/>
      <c r="L5" s="11"/>
      <c r="M5" s="11"/>
      <c r="N5" s="11"/>
      <c r="O5" s="11"/>
      <c r="P5" s="11"/>
      <c r="Q5" s="11"/>
      <c r="R5" s="11"/>
    </row>
    <row r="6" customFormat="false" ht="12.75" hidden="false" customHeight="false" outlineLevel="0" collapsed="false">
      <c r="C6" s="9"/>
      <c r="D6" s="9"/>
      <c r="E6" s="11"/>
      <c r="F6" s="11"/>
      <c r="G6" s="11"/>
      <c r="H6" s="11"/>
      <c r="I6" s="11"/>
      <c r="K6" s="11"/>
      <c r="L6" s="11"/>
      <c r="M6" s="11"/>
      <c r="N6" s="11"/>
      <c r="O6" s="11"/>
      <c r="P6" s="11"/>
      <c r="Q6" s="11"/>
      <c r="R6" s="11"/>
    </row>
    <row r="7" customFormat="false" ht="12.75" hidden="false" customHeight="true" outlineLevel="0" collapsed="false">
      <c r="C7" s="12" t="s">
        <v>5</v>
      </c>
      <c r="D7" s="12"/>
      <c r="E7" s="12"/>
      <c r="F7" s="12"/>
      <c r="G7" s="13" t="s">
        <v>6</v>
      </c>
      <c r="H7" s="13" t="s">
        <v>7</v>
      </c>
      <c r="I7" s="13"/>
      <c r="J7" s="13" t="s">
        <v>8</v>
      </c>
      <c r="K7" s="13" t="s">
        <v>9</v>
      </c>
      <c r="L7" s="13"/>
      <c r="M7" s="13"/>
      <c r="N7" s="13"/>
      <c r="O7" s="14"/>
      <c r="P7" s="12" t="s">
        <v>10</v>
      </c>
      <c r="Q7" s="12"/>
      <c r="R7" s="12"/>
      <c r="S7" s="15" t="s">
        <v>11</v>
      </c>
      <c r="T7" s="15"/>
      <c r="U7" s="15"/>
      <c r="V7" s="15"/>
    </row>
    <row r="8" customFormat="false" ht="25.5" hidden="false" customHeight="true" outlineLevel="0" collapsed="false">
      <c r="A8" s="16"/>
      <c r="C8" s="12" t="s">
        <v>12</v>
      </c>
      <c r="D8" s="12"/>
      <c r="E8" s="12" t="s">
        <v>13</v>
      </c>
      <c r="F8" s="12"/>
      <c r="G8" s="13"/>
      <c r="H8" s="13"/>
      <c r="I8" s="13"/>
      <c r="J8" s="13"/>
      <c r="K8" s="12" t="s">
        <v>12</v>
      </c>
      <c r="L8" s="12"/>
      <c r="M8" s="12" t="s">
        <v>13</v>
      </c>
      <c r="N8" s="12"/>
      <c r="O8" s="17"/>
      <c r="P8" s="12" t="s">
        <v>14</v>
      </c>
      <c r="Q8" s="12" t="s">
        <v>15</v>
      </c>
      <c r="R8" s="12" t="s">
        <v>16</v>
      </c>
      <c r="S8" s="18" t="s">
        <v>17</v>
      </c>
      <c r="T8" s="19" t="s">
        <v>18</v>
      </c>
      <c r="U8" s="20" t="s">
        <v>19</v>
      </c>
      <c r="V8" s="12" t="s">
        <v>20</v>
      </c>
    </row>
    <row r="9" customFormat="false" ht="12.75" hidden="false" customHeight="true" outlineLevel="0" collapsed="false">
      <c r="C9" s="21" t="s">
        <v>21</v>
      </c>
      <c r="D9" s="21"/>
      <c r="E9" s="22" t="s">
        <v>22</v>
      </c>
      <c r="F9" s="22"/>
      <c r="G9" s="21" t="n">
        <v>1</v>
      </c>
      <c r="H9" s="21" t="s">
        <v>23</v>
      </c>
      <c r="I9" s="21"/>
      <c r="J9" s="23" t="n">
        <v>2</v>
      </c>
      <c r="K9" s="24" t="s">
        <v>24</v>
      </c>
      <c r="L9" s="24"/>
      <c r="M9" s="24" t="s">
        <v>25</v>
      </c>
      <c r="N9" s="24"/>
      <c r="O9" s="25"/>
      <c r="P9" s="26" t="n">
        <f aca="false">VLOOKUP(M9,Caméras!B2:R200,4,0)*180/PI()/24/VLOOKUP(E9,'Tubes optiques'!B2:E136,3,0)/G9</f>
        <v>0.0440991821483796</v>
      </c>
      <c r="Q9" s="26" t="n">
        <f aca="false">VLOOKUP(M9,Caméras!B2:R200,5,0)*180/PI()/24/VLOOKUP(E9,'Tubes optiques'!B2:E136,3,0)/G9</f>
        <v>0.0293773499123843</v>
      </c>
      <c r="R9" s="26" t="n">
        <f aca="false">(VLOOKUP(M9,Caméras!B2:R200,5,0)^2+VLOOKUP(M9,Caméras!B2:R200,4,0)^2)^0.5*180/PI()/24/VLOOKUP(E9,'Tubes optiques'!B2:E136,3,0)/G9</f>
        <v>0.0529883624395949</v>
      </c>
      <c r="S9" s="27" t="n">
        <v>0</v>
      </c>
      <c r="T9" s="28" t="n">
        <v>10</v>
      </c>
      <c r="U9" s="29" t="n">
        <v>0</v>
      </c>
      <c r="V9" s="30" t="n">
        <f aca="false">($S9*3600+$T9*60+$U9)/P14</f>
        <v>872.684960729177</v>
      </c>
    </row>
    <row r="10" customFormat="false" ht="12.75" hidden="false" customHeight="false" outlineLevel="0" collapsed="false">
      <c r="C10" s="21"/>
      <c r="D10" s="21"/>
      <c r="E10" s="22"/>
      <c r="F10" s="22"/>
      <c r="G10" s="21"/>
      <c r="H10" s="21"/>
      <c r="I10" s="21"/>
      <c r="J10" s="23"/>
      <c r="K10" s="24"/>
      <c r="L10" s="24"/>
      <c r="M10" s="24"/>
      <c r="N10" s="24"/>
      <c r="O10" s="25"/>
      <c r="P10" s="26"/>
      <c r="Q10" s="26"/>
      <c r="R10" s="26"/>
      <c r="S10" s="27"/>
      <c r="T10" s="28"/>
      <c r="U10" s="29"/>
      <c r="V10" s="30"/>
    </row>
    <row r="11" s="31" customFormat="true" ht="12.75" hidden="false" customHeight="true" outlineLevel="0" collapsed="false">
      <c r="C11" s="32" t="s">
        <v>26</v>
      </c>
      <c r="D11" s="32"/>
      <c r="E11" s="33" t="str">
        <f aca="false">ROUND(VLOOKUP(E9,'Tubes optiques'!B2:E136,2,0),1)&amp;" mm"</f>
        <v>200 mm</v>
      </c>
      <c r="F11" s="33"/>
      <c r="G11" s="11"/>
      <c r="K11" s="34" t="s">
        <v>27</v>
      </c>
      <c r="L11" s="34"/>
      <c r="M11" s="34" t="str">
        <f aca="false">IF(VLOOKUP(M9,Caméras!B2:R200,2,0)=0,"---",VLOOKUP(M9,Caméras!B2:R200,2,0))</f>
        <v>IMX183 (BSI)</v>
      </c>
      <c r="N11" s="34"/>
      <c r="O11" s="35"/>
      <c r="P11" s="36"/>
      <c r="Q11" s="36"/>
      <c r="R11" s="36"/>
      <c r="S11" s="37"/>
    </row>
    <row r="12" s="31" customFormat="true" ht="12.75" hidden="false" customHeight="true" outlineLevel="0" collapsed="false">
      <c r="C12" s="32" t="s">
        <v>28</v>
      </c>
      <c r="D12" s="32"/>
      <c r="E12" s="33" t="str">
        <f aca="false">ROUND(VLOOKUP(E9,'Tubes optiques'!B2:E136,3,0),0)&amp;" mm"</f>
        <v>720 mm</v>
      </c>
      <c r="F12" s="33"/>
      <c r="G12" s="38" t="str">
        <f aca="false">IF(G9=1," ",ROUND(G9*VLOOKUP(E9,'Tubes optiques'!B2:E136,3,0),0)&amp;" mm")</f>
        <v> </v>
      </c>
      <c r="K12" s="33" t="s">
        <v>29</v>
      </c>
      <c r="L12" s="33"/>
      <c r="M12" s="33" t="str">
        <f aca="false">VLOOKUP(M9,Caméras!B2:R200,3,0)</f>
        <v>CMOS</v>
      </c>
      <c r="N12" s="33"/>
      <c r="O12" s="35"/>
      <c r="P12" s="13" t="s">
        <v>30</v>
      </c>
      <c r="Q12" s="13" t="s">
        <v>31</v>
      </c>
      <c r="R12" s="13"/>
      <c r="S12" s="13" t="s">
        <v>32</v>
      </c>
      <c r="T12" s="13"/>
      <c r="U12" s="13"/>
      <c r="V12" s="13"/>
    </row>
    <row r="13" s="2" customFormat="true" ht="14.65" hidden="false" customHeight="false" outlineLevel="0" collapsed="false">
      <c r="C13" s="33" t="s">
        <v>33</v>
      </c>
      <c r="D13" s="33"/>
      <c r="E13" s="33" t="n">
        <f aca="false">VLOOKUP(E9,'Tubes optiques'!B2:E136,4,0)</f>
        <v>3.6</v>
      </c>
      <c r="F13" s="33"/>
      <c r="G13" s="38" t="str">
        <f aca="false">IF(G9=1," ",ROUND(G9*VLOOKUP(E9,'Tubes optiques'!B2:E136,4,0),1))</f>
        <v> </v>
      </c>
      <c r="K13" s="33" t="s">
        <v>34</v>
      </c>
      <c r="L13" s="33"/>
      <c r="M13" s="33" t="str">
        <f aca="false">VLOOKUP(M9,Caméras!B2:R200,6,0)&amp;"×"&amp;VLOOKUP(M9,Caméras!B2:R200,7,0)</f>
        <v>5544×3694</v>
      </c>
      <c r="N13" s="33"/>
      <c r="O13" s="35"/>
      <c r="P13" s="13"/>
      <c r="Q13" s="13"/>
      <c r="R13" s="13"/>
      <c r="S13" s="13"/>
      <c r="T13" s="13"/>
      <c r="U13" s="13"/>
      <c r="V13" s="13"/>
      <c r="W13" s="39" t="e">
        <f aca="false">VLOOKUP(M9,Caméras!B2:R103,8,0)*206.26/(MAX(VLOOKUP(E9,'Tubes optiques'!B2:F136,5,0),J9)/2)</f>
        <v>#N/A</v>
      </c>
    </row>
    <row r="14" s="2" customFormat="true" ht="12.75" hidden="false" customHeight="true" outlineLevel="0" collapsed="false">
      <c r="C14" s="33" t="s">
        <v>34</v>
      </c>
      <c r="D14" s="33"/>
      <c r="E14" s="40" t="str">
        <f aca="false">IF(VLOOKUP(E9,'Tubes optiques'!B2:F136,5,0)&lt;1,ROUND(VLOOKUP(E9,'Tubes optiques'!B2:F136,5,0),2),IF(VLOOKUP(E9,'Tubes optiques'!B2:F136,5,0)&lt;10,ROUND(VLOOKUP(E9,'Tubes optiques'!B2:F136,5,0),1),ROUND(VLOOKUP(E9,'Tubes optiques'!B2:F136,5,0),0)))&amp;"''"</f>
        <v>0,69''</v>
      </c>
      <c r="F14" s="40"/>
      <c r="K14" s="41" t="s">
        <v>35</v>
      </c>
      <c r="L14" s="41"/>
      <c r="M14" s="33" t="str">
        <f aca="false">VLOOKUP(M9,Caméras!B2:R200,8,0)&amp;" µm"</f>
        <v>2,4 µm</v>
      </c>
      <c r="N14" s="33"/>
      <c r="O14" s="35"/>
      <c r="P14" s="42" t="n">
        <f aca="false">VLOOKUP(M9,Caméras!B2:R200,8,0)*206.26/VLOOKUP(E9,'Tubes optiques'!B2:E136,3,0)/G9</f>
        <v>0.687533333333333</v>
      </c>
      <c r="Q14" s="30" t="str">
        <f aca="false">ROUND(VLOOKUP(M9,Caméras!B2:R200,8,0)*206.26/(MAX(VLOOKUP(E9,'Tubes optiques'!B2:F136,5,0),J9)/2),0)&amp;" mm &lt; Focale &lt; "&amp;ROUND(VLOOKUP(M9,Caméras!B2:R200,8,0)*206.26/(MAX(VLOOKUP(E9,'Tubes optiques'!B2:F136,5,0),J9)/3),0)&amp;" mm"</f>
        <v>495 mm &lt; Focale &lt; 743 mm</v>
      </c>
      <c r="R14" s="30"/>
      <c r="S14" s="43" t="str">
        <f aca="false">IF(ROUND(G9*VLOOKUP(E9,'Tubes optiques'!B2:E135,3,0),0)&lt;ROUND(VLOOKUP(M9,Caméras!B2:R200,8,0)*206.26/(MAX(VLOOKUP(E9,'Tubes optiques'!B2:F135,5,0),J9)/2),0),"Sous-échantillonnage",IF(ROUND(G9*VLOOKUP(E9,'Tubes optiques'!B2:E135,3,0),0)&gt;ROUND(VLOOKUP(M9,Caméras!B2:R200,8,0)*206.26/(MAX(VLOOKUP(E9,'Tubes optiques'!B2:F135,5,0),J9)/3),0),"Sur-échantillonnage","Echantillonnage correct"))</f>
        <v>Echantillonnage correct</v>
      </c>
      <c r="T14" s="43"/>
      <c r="U14" s="43"/>
      <c r="V14" s="43"/>
      <c r="W14" s="44" t="n">
        <f aca="false">G9*VLOOKUP(E9,'Tubes optiques'!B2:E136,3,0)</f>
        <v>720</v>
      </c>
    </row>
    <row r="15" s="2" customFormat="true" ht="12.75" hidden="false" customHeight="true" outlineLevel="0" collapsed="false">
      <c r="C15" s="35"/>
      <c r="D15" s="35"/>
      <c r="E15" s="45"/>
      <c r="F15" s="45"/>
      <c r="K15" s="41" t="s">
        <v>36</v>
      </c>
      <c r="L15" s="41"/>
      <c r="M15" s="46" t="str">
        <f aca="false">ROUND(VLOOKUP(M9,Caméras!B2:R200,4,0),2)&amp;" mm"</f>
        <v>13,3 mm</v>
      </c>
      <c r="N15" s="46"/>
      <c r="O15" s="47"/>
      <c r="P15" s="42"/>
      <c r="Q15" s="30" t="str">
        <f aca="false">ROUND(VLOOKUP(M9,Caméras!B2:R200,8,0)*206.26/(MAX(VLOOKUP(E9,'Tubes optiques'!B2:F136,5,0),J9)/2)/VLOOKUP(E9,'Tubes optiques'!B2:E136,2,0),0)&amp;" &lt; F/D &lt; "&amp;ROUND(VLOOKUP(M9,Caméras!B2:R200,8,0)*206.26/(MAX(VLOOKUP(E9,'Tubes optiques'!B2:F136,5,0),J9)/3)/VLOOKUP(E9,'Tubes optiques'!B2:E136,2,0),0)</f>
        <v>2 &lt; F/D &lt; 4</v>
      </c>
      <c r="R15" s="30"/>
      <c r="S15" s="43"/>
      <c r="T15" s="43"/>
      <c r="U15" s="43"/>
      <c r="V15" s="43"/>
      <c r="W15" s="39" t="e">
        <f aca="false">VLOOKUP(M9,Caméras!B2:R103,8,0)*206.26/(MAX(VLOOKUP(E9,'Tubes optiques'!B2:F136,5,0),J9)/3)</f>
        <v>#N/A</v>
      </c>
    </row>
    <row r="16" s="2" customFormat="true" ht="12.75" hidden="false" customHeight="true" outlineLevel="0" collapsed="false">
      <c r="K16" s="41" t="s">
        <v>37</v>
      </c>
      <c r="L16" s="41"/>
      <c r="M16" s="46" t="str">
        <f aca="false">ROUND(VLOOKUP(M9,Caméras!B2:R200,5,0),2)&amp;" mm"</f>
        <v>8,86 mm</v>
      </c>
      <c r="N16" s="46"/>
      <c r="O16" s="47"/>
      <c r="Q16" s="48"/>
      <c r="R16" s="48"/>
    </row>
    <row r="17" s="2" customFormat="true" ht="14.65" hidden="false" customHeight="false" outlineLevel="0" collapsed="false">
      <c r="C17" s="49"/>
      <c r="D17" s="49"/>
      <c r="K17" s="33" t="s">
        <v>38</v>
      </c>
      <c r="L17" s="33"/>
      <c r="M17" s="40" t="n">
        <f aca="false">VLOOKUP(M9,Caméras!B2:R200,9,0)</f>
        <v>20</v>
      </c>
      <c r="N17" s="40"/>
      <c r="O17" s="50"/>
    </row>
    <row r="18" s="2" customFormat="true" ht="12.75" hidden="false" customHeight="true" outlineLevel="0" collapsed="false">
      <c r="C18" s="51"/>
      <c r="D18" s="51"/>
      <c r="K18" s="33" t="s">
        <v>39</v>
      </c>
      <c r="L18" s="33"/>
      <c r="M18" s="33" t="str">
        <f aca="false">IF(VLOOKUP(M9,Caméras!B2:R200,10,0)=0,"---",VLOOKUP(M9,Caméras!B2:R200,10,0)&amp;" im/s")</f>
        <v>15FPS@20.48 million pixels im/s</v>
      </c>
      <c r="N18" s="33"/>
      <c r="O18" s="35"/>
    </row>
    <row r="19" s="2" customFormat="true" ht="14.65" hidden="false" customHeight="false" outlineLevel="0" collapsed="false">
      <c r="C19" s="52"/>
      <c r="D19" s="35"/>
      <c r="K19" s="33" t="s">
        <v>40</v>
      </c>
      <c r="L19" s="33"/>
      <c r="M19" s="33" t="str">
        <f aca="false">IF(VLOOKUP(M9,Caméras!B2:R200,11,0)=0,"---",VLOOKUP(M9,Caméras!B2:R200,11,0))</f>
        <v>---</v>
      </c>
      <c r="N19" s="33"/>
      <c r="O19" s="35"/>
    </row>
    <row r="20" s="2" customFormat="true" ht="12.75" hidden="false" customHeight="true" outlineLevel="0" collapsed="false">
      <c r="C20" s="53" t="s">
        <v>41</v>
      </c>
      <c r="D20" s="53"/>
      <c r="E20" s="53"/>
      <c r="F20" s="53"/>
      <c r="G20" s="53"/>
      <c r="H20" s="53"/>
      <c r="I20" s="53"/>
      <c r="J20" s="53"/>
      <c r="K20" s="33" t="s">
        <v>42</v>
      </c>
      <c r="L20" s="33"/>
      <c r="M20" s="33" t="str">
        <f aca="false">IF(VLOOKUP(M9,Caméras!B2:R200,12,0)=0,"---",VLOOKUP(M9,Caméras!B2:R200,12,0)&amp;" bits")</f>
        <v>8bit/16bit bits</v>
      </c>
      <c r="N20" s="33"/>
      <c r="O20" s="35"/>
    </row>
    <row r="21" s="2" customFormat="true" ht="14.65" hidden="false" customHeight="false" outlineLevel="0" collapsed="false">
      <c r="C21" s="53"/>
      <c r="D21" s="53"/>
      <c r="E21" s="53"/>
      <c r="F21" s="53"/>
      <c r="G21" s="53"/>
      <c r="H21" s="53"/>
      <c r="I21" s="53"/>
      <c r="J21" s="53"/>
      <c r="K21" s="33" t="s">
        <v>43</v>
      </c>
      <c r="L21" s="33"/>
      <c r="M21" s="33" t="str">
        <f aca="false">IF(VLOOKUP(M9,Caméras!B2:R200,13,0)=0,"---",VLOOKUP(M9,Caméras!B2:R200,13,0))</f>
        <v>2.7e@low gain 1.0e@high gain</v>
      </c>
      <c r="N21" s="33"/>
      <c r="O21" s="35"/>
      <c r="Q21" s="48"/>
      <c r="R21" s="48"/>
    </row>
    <row r="22" s="2" customFormat="true" ht="14.65" hidden="false" customHeight="false" outlineLevel="0" collapsed="false">
      <c r="C22" s="54"/>
      <c r="D22" s="54"/>
      <c r="E22" s="1"/>
      <c r="F22" s="1"/>
      <c r="K22" s="33" t="s">
        <v>44</v>
      </c>
      <c r="L22" s="33"/>
      <c r="M22" s="33" t="str">
        <f aca="false">IF(VLOOKUP(M9,Caméras!B2:R200,14,0)=0,"---",VLOOKUP(M9,Caméras!B2:R200,14,0))</f>
        <v>0.0024e/p/s @ -15C</v>
      </c>
      <c r="N22" s="33"/>
      <c r="O22" s="35"/>
      <c r="Q22" s="48"/>
      <c r="R22" s="48"/>
    </row>
    <row r="23" s="2" customFormat="true" ht="14.65" hidden="false" customHeight="true" outlineLevel="0" collapsed="false">
      <c r="C23" s="12" t="s">
        <v>5</v>
      </c>
      <c r="D23" s="12"/>
      <c r="E23" s="12" t="s">
        <v>27</v>
      </c>
      <c r="F23" s="12"/>
      <c r="G23" s="12"/>
      <c r="H23" s="13" t="s">
        <v>45</v>
      </c>
      <c r="K23" s="33" t="s">
        <v>46</v>
      </c>
      <c r="L23" s="33"/>
      <c r="M23" s="33" t="str">
        <f aca="false">IF(VLOOKUP(M9,Caméras!B2:R200,15,0)=0,"---",VLOOKUP(M9,Caméras!B2:R200,15,0))</f>
        <v>---</v>
      </c>
      <c r="N23" s="33"/>
      <c r="O23" s="35"/>
      <c r="Q23" s="48"/>
      <c r="R23" s="48"/>
    </row>
    <row r="24" s="2" customFormat="true" ht="14.65" hidden="false" customHeight="false" outlineLevel="0" collapsed="false">
      <c r="C24" s="55" t="s">
        <v>47</v>
      </c>
      <c r="D24" s="55" t="s">
        <v>48</v>
      </c>
      <c r="E24" s="12" t="s">
        <v>36</v>
      </c>
      <c r="F24" s="12" t="s">
        <v>37</v>
      </c>
      <c r="G24" s="12" t="s">
        <v>49</v>
      </c>
      <c r="H24" s="13"/>
      <c r="K24" s="33" t="s">
        <v>50</v>
      </c>
      <c r="L24" s="33"/>
      <c r="M24" s="33" t="str">
        <f aca="false">IF(VLOOKUP(M9,Caméras!B2:R200,16,0)=0,"---",VLOOKUP(M9,Caméras!B2:R200,16,0))</f>
        <v>---</v>
      </c>
      <c r="N24" s="33"/>
      <c r="O24" s="35"/>
      <c r="Q24" s="48"/>
      <c r="R24" s="48"/>
    </row>
    <row r="25" s="2" customFormat="true" ht="14.65" hidden="false" customHeight="false" outlineLevel="0" collapsed="false">
      <c r="C25" s="21" t="n">
        <v>80</v>
      </c>
      <c r="D25" s="21" t="n">
        <v>600</v>
      </c>
      <c r="E25" s="21"/>
      <c r="F25" s="21"/>
      <c r="G25" s="21"/>
      <c r="H25" s="21"/>
      <c r="K25" s="33" t="s">
        <v>51</v>
      </c>
      <c r="L25" s="33"/>
      <c r="M25" s="33" t="str">
        <f aca="false">IF(VLOOKUP(M9,Caméras!B2:R200,17,0)=0,"---",VLOOKUP(M9,Caméras!B2:R200,17,0))</f>
        <v>---</v>
      </c>
      <c r="N25" s="33"/>
      <c r="O25" s="35"/>
    </row>
    <row r="26" s="2" customFormat="true" ht="12.75" hidden="false" customHeight="false" outlineLevel="0" collapsed="false">
      <c r="C26" s="52"/>
      <c r="D26" s="50"/>
      <c r="S26" s="56"/>
    </row>
    <row r="27" s="2" customFormat="true" ht="12.75" hidden="false" customHeight="false" outlineLevel="0" collapsed="false">
      <c r="G27" s="1"/>
      <c r="H27" s="1"/>
      <c r="I27" s="1"/>
      <c r="J27" s="57"/>
      <c r="K27" s="58"/>
      <c r="L27" s="58"/>
      <c r="R27" s="1"/>
      <c r="S27" s="59"/>
      <c r="T27" s="59"/>
      <c r="U27" s="59"/>
      <c r="V27" s="60"/>
    </row>
    <row r="28" s="2" customFormat="true" ht="12.75" hidden="false" customHeight="false" outlineLevel="0" collapsed="false">
      <c r="K28" s="61"/>
      <c r="L28" s="61"/>
      <c r="S28" s="56"/>
      <c r="T28" s="59"/>
      <c r="U28" s="59"/>
      <c r="V28" s="60"/>
    </row>
    <row r="29" customFormat="false" ht="12.75" hidden="false" customHeight="false" outlineLevel="0" collapsed="false">
      <c r="C29" s="62"/>
      <c r="D29" s="51"/>
      <c r="E29" s="51"/>
      <c r="F29" s="51"/>
      <c r="G29" s="51"/>
    </row>
    <row r="30" customFormat="false" ht="26.25" hidden="false" customHeight="false" outlineLevel="0" collapsed="false">
      <c r="C30" s="63" t="s">
        <v>52</v>
      </c>
      <c r="D30" s="1"/>
      <c r="E30" s="64"/>
      <c r="F30" s="64"/>
      <c r="G30" s="65"/>
    </row>
    <row r="31" customFormat="false" ht="12.75" hidden="false" customHeight="false" outlineLevel="0" collapsed="false">
      <c r="D31" s="1"/>
      <c r="E31" s="66"/>
      <c r="F31" s="66"/>
      <c r="G31" s="67"/>
    </row>
    <row r="32" customFormat="false" ht="12.75" hidden="false" customHeight="false" outlineLevel="0" collapsed="false">
      <c r="C32" s="2" t="s">
        <v>53</v>
      </c>
      <c r="D32" s="1"/>
      <c r="E32" s="66"/>
      <c r="F32" s="66"/>
      <c r="G32" s="67"/>
      <c r="K32" s="65"/>
      <c r="L32" s="65"/>
    </row>
    <row r="33" customFormat="false" ht="12.75" hidden="false" customHeight="false" outlineLevel="0" collapsed="false">
      <c r="C33" s="2" t="s">
        <v>54</v>
      </c>
      <c r="D33" s="1"/>
      <c r="G33" s="31"/>
    </row>
    <row r="34" customFormat="false" ht="12.75" hidden="false" customHeight="false" outlineLevel="0" collapsed="false">
      <c r="C34" s="2" t="s">
        <v>55</v>
      </c>
    </row>
    <row r="35" customFormat="false" ht="12.75" hidden="false" customHeight="false" outlineLevel="0" collapsed="false">
      <c r="C35" s="68" t="s">
        <v>56</v>
      </c>
    </row>
    <row r="36" customFormat="false" ht="12.75" hidden="false" customHeight="false" outlineLevel="0" collapsed="false">
      <c r="C36" s="68" t="s">
        <v>57</v>
      </c>
    </row>
    <row r="37" customFormat="false" ht="12.75" hidden="false" customHeight="false" outlineLevel="0" collapsed="false">
      <c r="C37" s="2" t="s">
        <v>58</v>
      </c>
      <c r="D37" s="1"/>
    </row>
    <row r="38" customFormat="false" ht="12.75" hidden="false" customHeight="false" outlineLevel="0" collapsed="false">
      <c r="D38" s="2" t="s">
        <v>59</v>
      </c>
    </row>
    <row r="39" customFormat="false" ht="12.75" hidden="false" customHeight="false" outlineLevel="0" collapsed="false">
      <c r="D39" s="2" t="s">
        <v>60</v>
      </c>
    </row>
    <row r="41" customFormat="false" ht="12.75" hidden="false" customHeight="false" outlineLevel="0" collapsed="false">
      <c r="C41" s="69" t="s">
        <v>61</v>
      </c>
    </row>
    <row r="42" customFormat="false" ht="12.75" hidden="false" customHeight="false" outlineLevel="0" collapsed="false">
      <c r="C42" s="2" t="s">
        <v>62</v>
      </c>
    </row>
    <row r="44" customFormat="false" ht="12.75" hidden="false" customHeight="false" outlineLevel="0" collapsed="false">
      <c r="C44" s="2" t="s">
        <v>63</v>
      </c>
    </row>
    <row r="45" customFormat="false" ht="12.75" hidden="false" customHeight="false" outlineLevel="0" collapsed="false">
      <c r="C45" s="2" t="s">
        <v>64</v>
      </c>
    </row>
    <row r="46" customFormat="false" ht="12.75" hidden="false" customHeight="false" outlineLevel="0" collapsed="false">
      <c r="C46" s="2" t="s">
        <v>65</v>
      </c>
    </row>
    <row r="48" customFormat="false" ht="12.75" hidden="false" customHeight="false" outlineLevel="0" collapsed="false">
      <c r="C48" s="2" t="s">
        <v>66</v>
      </c>
    </row>
  </sheetData>
  <mergeCells count="77">
    <mergeCell ref="D1:N1"/>
    <mergeCell ref="C2:G2"/>
    <mergeCell ref="C3:G3"/>
    <mergeCell ref="C7:F7"/>
    <mergeCell ref="G7:G8"/>
    <mergeCell ref="H7:I8"/>
    <mergeCell ref="J7:J8"/>
    <mergeCell ref="K7:N7"/>
    <mergeCell ref="P7:R7"/>
    <mergeCell ref="S7:V7"/>
    <mergeCell ref="C8:D8"/>
    <mergeCell ref="E8:F8"/>
    <mergeCell ref="K8:L8"/>
    <mergeCell ref="M8:N8"/>
    <mergeCell ref="C9:D10"/>
    <mergeCell ref="E9:F10"/>
    <mergeCell ref="G9:G10"/>
    <mergeCell ref="H9:I10"/>
    <mergeCell ref="J9:J10"/>
    <mergeCell ref="K9:L10"/>
    <mergeCell ref="M9:N10"/>
    <mergeCell ref="P9:P10"/>
    <mergeCell ref="Q9:Q10"/>
    <mergeCell ref="R9:R10"/>
    <mergeCell ref="S9:S10"/>
    <mergeCell ref="T9:T10"/>
    <mergeCell ref="U9:U10"/>
    <mergeCell ref="V9:V10"/>
    <mergeCell ref="C11:D11"/>
    <mergeCell ref="E11:F11"/>
    <mergeCell ref="K11:L11"/>
    <mergeCell ref="M11:N11"/>
    <mergeCell ref="C12:D12"/>
    <mergeCell ref="E12:F12"/>
    <mergeCell ref="K12:L12"/>
    <mergeCell ref="M12:N12"/>
    <mergeCell ref="P12:P13"/>
    <mergeCell ref="Q12:R13"/>
    <mergeCell ref="S12:V13"/>
    <mergeCell ref="C13:D13"/>
    <mergeCell ref="E13:F13"/>
    <mergeCell ref="K13:L13"/>
    <mergeCell ref="M13:N13"/>
    <mergeCell ref="C14:D14"/>
    <mergeCell ref="E14:F14"/>
    <mergeCell ref="K14:L14"/>
    <mergeCell ref="M14:N14"/>
    <mergeCell ref="P14:P15"/>
    <mergeCell ref="Q14:R14"/>
    <mergeCell ref="S14:V15"/>
    <mergeCell ref="K15:L15"/>
    <mergeCell ref="M15:N15"/>
    <mergeCell ref="Q15:R15"/>
    <mergeCell ref="K16:L16"/>
    <mergeCell ref="M16:N16"/>
    <mergeCell ref="K17:L17"/>
    <mergeCell ref="M17:N17"/>
    <mergeCell ref="K18:L18"/>
    <mergeCell ref="M18:N18"/>
    <mergeCell ref="K19:L19"/>
    <mergeCell ref="M19:N19"/>
    <mergeCell ref="C20:J21"/>
    <mergeCell ref="K20:L20"/>
    <mergeCell ref="M20:N20"/>
    <mergeCell ref="K21:L21"/>
    <mergeCell ref="M21:N21"/>
    <mergeCell ref="K22:L22"/>
    <mergeCell ref="M22:N22"/>
    <mergeCell ref="C23:D23"/>
    <mergeCell ref="E23:G23"/>
    <mergeCell ref="H23:H24"/>
    <mergeCell ref="K23:L23"/>
    <mergeCell ref="M23:N23"/>
    <mergeCell ref="K24:L24"/>
    <mergeCell ref="M24:N24"/>
    <mergeCell ref="K25:L25"/>
    <mergeCell ref="M25:N25"/>
  </mergeCells>
  <conditionalFormatting sqref="R14">
    <cfRule type="expression" priority="2" aboveAverage="0" equalAverage="0" bottom="0" percent="0" rank="0" text="" dxfId="0">
      <formula>AND(U14&gt;U13,U14&lt;U15)</formula>
    </cfRule>
  </conditionalFormatting>
  <conditionalFormatting sqref="R15">
    <cfRule type="expression" priority="3" aboveAverage="0" equalAverage="0" bottom="0" percent="0" rank="0" text="" dxfId="1">
      <formula>AND(U14&gt;U13,U14&lt;U15)</formula>
    </cfRule>
  </conditionalFormatting>
  <conditionalFormatting sqref="S14">
    <cfRule type="expression" priority="4" aboveAverage="0" equalAverage="0" bottom="0" percent="0" rank="0" text="" dxfId="2">
      <formula>AND(W14&gt;W13,W14&lt;W15)</formula>
    </cfRule>
  </conditionalFormatting>
  <conditionalFormatting sqref="U17">
    <cfRule type="expression" priority="5" aboveAverage="0" equalAverage="0" bottom="0" percent="0" rank="0" text="" dxfId="3">
      <formula>AND(W14&gt;W13,W14&lt;W15)</formula>
    </cfRule>
  </conditionalFormatting>
  <conditionalFormatting sqref="G13">
    <cfRule type="expression" priority="6" aboveAverage="0" equalAverage="0" bottom="0" percent="0" rank="0" text="" dxfId="4">
      <formula>$G$9&lt;&gt;1</formula>
    </cfRule>
    <cfRule type="expression" priority="7" aboveAverage="0" equalAverage="0" bottom="0" percent="0" rank="0" text="" dxfId="5">
      <formula>AND(W15&gt;W14,W15&lt;T16)</formula>
    </cfRule>
  </conditionalFormatting>
  <conditionalFormatting sqref="G12">
    <cfRule type="expression" priority="8" aboveAverage="0" equalAverage="0" bottom="0" percent="0" rank="0" text="" dxfId="6">
      <formula>$G$9&lt;&gt;1</formula>
    </cfRule>
    <cfRule type="expression" priority="9" aboveAverage="0" equalAverage="0" bottom="0" percent="0" rank="0" text="" dxfId="7">
      <formula>AND(W14&gt;W13,W14&lt;W15)</formula>
    </cfRule>
  </conditionalFormatting>
  <conditionalFormatting sqref="P15">
    <cfRule type="expression" priority="10" aboveAverage="0" equalAverage="0" bottom="0" percent="0" rank="0" text="" dxfId="8">
      <formula>AND(W15&gt;W14,W15&lt;T16)</formula>
    </cfRule>
  </conditionalFormatting>
  <conditionalFormatting sqref="P14">
    <cfRule type="expression" priority="11" aboveAverage="0" equalAverage="0" bottom="0" percent="0" rank="0" text="" dxfId="9">
      <formula>AND(W14&gt;W13,W14&lt;W15)</formula>
    </cfRule>
  </conditionalFormatting>
  <conditionalFormatting sqref="Q14">
    <cfRule type="expression" priority="12" aboveAverage="0" equalAverage="0" bottom="0" percent="0" rank="0" text="" dxfId="10">
      <formula>AND(W14&gt;W13,W14&lt;W15)</formula>
    </cfRule>
  </conditionalFormatting>
  <conditionalFormatting sqref="Q15">
    <cfRule type="expression" priority="13" aboveAverage="0" equalAverage="0" bottom="0" percent="0" rank="0" text="" dxfId="11">
      <formula>AND(W14&gt;W13,W14&lt;W15)</formula>
    </cfRule>
  </conditionalFormatting>
  <dataValidations count="6">
    <dataValidation allowBlank="true" operator="equal" showDropDown="false" showErrorMessage="true" showInputMessage="false" sqref="C9" type="list">
      <formula1>Marques_OTA</formula1>
      <formula2>0</formula2>
    </dataValidation>
    <dataValidation allowBlank="true" operator="equal" showDropDown="false" showErrorMessage="true" showInputMessage="false" sqref="E9:F9" type="list">
      <formula1>INDIRECT($C$9)</formula1>
      <formula2>0</formula2>
    </dataValidation>
    <dataValidation allowBlank="true" operator="equal" showDropDown="false" showErrorMessage="true" showInputMessage="false" sqref="H9:I10" type="list">
      <formula1>λ</formula1>
      <formula2>0</formula2>
    </dataValidation>
    <dataValidation allowBlank="true" operator="equal" showDropDown="false" showErrorMessage="true" showInputMessage="false" sqref="K9" type="list">
      <formula1>Caméras!$T1:$T13</formula1>
      <formula2>0</formula2>
    </dataValidation>
    <dataValidation allowBlank="true" operator="equal" showDropDown="false" showErrorMessage="true" showInputMessage="false" sqref="L9" type="list">
      <formula1>Marques_Caméras</formula1>
      <formula2>0</formula2>
    </dataValidation>
    <dataValidation allowBlank="true" operator="equal" showDropDown="false" showErrorMessage="true" showInputMessage="false" sqref="M9:O9" type="list">
      <formula1>INDIRECT($K$9)</formula1>
      <formula2>0</formula2>
    </dataValidation>
  </dataValidations>
  <hyperlinks>
    <hyperlink ref="C41" r:id="rId1" display="Le calcul de l'échantillonnage idéal est fait en appliquant le théorème d'échantillonnage de Nyquist-Shannon à partir du paramètre limitant (résolution instrumentale ou turbulence)."/>
  </hyperlinks>
  <printOptions headings="false" gridLines="false" gridLinesSet="true" horizontalCentered="false" verticalCentered="false"/>
  <pageMargins left="0.747916666666667" right="0.747916666666667" top="0.984027777777778" bottom="0.984027777777778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048576"/>
  <sheetViews>
    <sheetView showFormulas="false" showGridLines="true" showRowColHeaders="true" showZeros="true" rightToLeft="false" tabSelected="false" showOutlineSymbols="true" defaultGridColor="true" view="normal" topLeftCell="A106" colorId="64" zoomScale="100" zoomScaleNormal="100" zoomScalePageLayoutView="100" workbookViewId="0">
      <selection pane="topLeft" activeCell="B132" activeCellId="0" sqref="B132"/>
    </sheetView>
  </sheetViews>
  <sheetFormatPr defaultRowHeight="12.75" zeroHeight="false" outlineLevelRow="0" outlineLevelCol="0"/>
  <cols>
    <col collapsed="false" customWidth="true" hidden="false" outlineLevel="0" max="1" min="1" style="70" width="27.53"/>
    <col collapsed="false" customWidth="true" hidden="false" outlineLevel="0" max="2" min="2" style="71" width="22.11"/>
    <col collapsed="false" customWidth="true" hidden="false" outlineLevel="0" max="3" min="3" style="72" width="7.55"/>
    <col collapsed="false" customWidth="true" hidden="false" outlineLevel="0" max="4" min="4" style="72" width="7.27"/>
    <col collapsed="false" customWidth="true" hidden="false" outlineLevel="0" max="5" min="5" style="71" width="4.98"/>
    <col collapsed="false" customWidth="true" hidden="false" outlineLevel="0" max="6" min="6" style="72" width="14.4"/>
    <col collapsed="false" customWidth="true" hidden="false" outlineLevel="0" max="7" min="7" style="72" width="11.4"/>
    <col collapsed="false" customWidth="true" hidden="false" outlineLevel="0" max="8" min="8" style="72" width="19.12"/>
    <col collapsed="false" customWidth="true" hidden="false" outlineLevel="0" max="9" min="9" style="72" width="8.98"/>
    <col collapsed="false" customWidth="true" hidden="false" outlineLevel="0" max="10" min="10" style="72" width="11.4"/>
    <col collapsed="false" customWidth="true" hidden="false" outlineLevel="0" max="11" min="11" style="72" width="19.58"/>
    <col collapsed="false" customWidth="true" hidden="false" outlineLevel="0" max="257" min="12" style="72" width="11.4"/>
    <col collapsed="false" customWidth="true" hidden="false" outlineLevel="0" max="1025" min="258" style="0" width="11.4"/>
  </cols>
  <sheetData>
    <row r="1" customFormat="false" ht="25.5" hidden="false" customHeight="true" outlineLevel="0" collapsed="false">
      <c r="A1" s="73" t="s">
        <v>12</v>
      </c>
      <c r="B1" s="74" t="s">
        <v>13</v>
      </c>
      <c r="C1" s="75" t="s">
        <v>47</v>
      </c>
      <c r="D1" s="75" t="s">
        <v>48</v>
      </c>
      <c r="E1" s="75" t="s">
        <v>33</v>
      </c>
      <c r="F1" s="76" t="str">
        <f aca="false">"R ('')                    λ = "&amp;VLOOKUP('Champ - Echantillonnage'!$H$9,H2:I12,2,0)&amp;" nm"</f>
        <v>R ('')                    λ = 550 nm</v>
      </c>
      <c r="H1" s="13" t="s">
        <v>67</v>
      </c>
      <c r="I1" s="13" t="s">
        <v>45</v>
      </c>
      <c r="K1" s="70" t="s">
        <v>68</v>
      </c>
    </row>
    <row r="2" customFormat="false" ht="12.75" hidden="false" customHeight="true" outlineLevel="0" collapsed="false">
      <c r="A2" s="77" t="s">
        <v>21</v>
      </c>
      <c r="B2" s="78" t="s">
        <v>22</v>
      </c>
      <c r="C2" s="79" t="n">
        <v>200</v>
      </c>
      <c r="D2" s="79" t="n">
        <v>720</v>
      </c>
      <c r="E2" s="79" t="n">
        <f aca="false">ROUND(D2/C2,1)</f>
        <v>3.6</v>
      </c>
      <c r="F2" s="80" t="n">
        <f aca="false">0.25164*VLOOKUP('Champ - Echantillonnage'!$H$9,'Tubes optiques'!$H$2:$I$12,2,0)/C2</f>
        <v>0.69201</v>
      </c>
      <c r="H2" s="81" t="str">
        <f aca="false">"Infrarouge ("&amp;I2&amp;" nm)"</f>
        <v>Infrarouge (800 nm)</v>
      </c>
      <c r="I2" s="33" t="n">
        <v>800</v>
      </c>
      <c r="K2" s="70" t="s">
        <v>21</v>
      </c>
    </row>
    <row r="3" customFormat="false" ht="12.75" hidden="false" customHeight="true" outlineLevel="0" collapsed="false">
      <c r="A3" s="77"/>
      <c r="B3" s="78" t="s">
        <v>69</v>
      </c>
      <c r="C3" s="79" t="n">
        <v>250</v>
      </c>
      <c r="D3" s="79" t="n">
        <v>900</v>
      </c>
      <c r="E3" s="79" t="n">
        <f aca="false">ROUND(D3/C3,1)</f>
        <v>3.6</v>
      </c>
      <c r="F3" s="80" t="n">
        <f aca="false">0.25164*VLOOKUP('Champ - Echantillonnage'!$H$9,'Tubes optiques'!$H$2:$I$12,2,0)/C3</f>
        <v>0.553608</v>
      </c>
      <c r="H3" s="81" t="str">
        <f aca="false">"Rouge ("&amp;I3&amp;" nm)"</f>
        <v>Rouge (650 nm)</v>
      </c>
      <c r="I3" s="33" t="n">
        <v>650</v>
      </c>
      <c r="K3" s="70" t="s">
        <v>70</v>
      </c>
    </row>
    <row r="4" customFormat="false" ht="12.75" hidden="false" customHeight="true" outlineLevel="0" collapsed="false">
      <c r="A4" s="77"/>
      <c r="B4" s="78" t="s">
        <v>71</v>
      </c>
      <c r="C4" s="79" t="n">
        <v>300</v>
      </c>
      <c r="D4" s="79" t="n">
        <v>1080</v>
      </c>
      <c r="E4" s="79" t="n">
        <f aca="false">ROUND(D4/C4,1)</f>
        <v>3.6</v>
      </c>
      <c r="F4" s="80" t="n">
        <f aca="false">0.25164*VLOOKUP('Champ - Echantillonnage'!$H$9,'Tubes optiques'!$H$2:$I$12,2,0)/C4</f>
        <v>0.46134</v>
      </c>
      <c r="H4" s="81" t="str">
        <f aca="false">"Vert ("&amp;I4&amp;" nm)"</f>
        <v>Vert (550 nm)</v>
      </c>
      <c r="I4" s="33" t="n">
        <v>550</v>
      </c>
      <c r="K4" s="70" t="s">
        <v>72</v>
      </c>
    </row>
    <row r="5" customFormat="false" ht="12.75" hidden="false" customHeight="true" outlineLevel="0" collapsed="false">
      <c r="A5" s="77"/>
      <c r="B5" s="78" t="s">
        <v>73</v>
      </c>
      <c r="C5" s="79" t="n">
        <v>400</v>
      </c>
      <c r="D5" s="79" t="n">
        <v>1440</v>
      </c>
      <c r="E5" s="79" t="n">
        <f aca="false">ROUND(D5/C5,1)</f>
        <v>3.6</v>
      </c>
      <c r="F5" s="80" t="n">
        <f aca="false">0.25164*VLOOKUP('Champ - Echantillonnage'!$H$9,'Tubes optiques'!$H$2:$I$12,2,0)/C5</f>
        <v>0.346005</v>
      </c>
      <c r="H5" s="81" t="str">
        <f aca="false">"Bleu ("&amp;I5&amp;" nm)"</f>
        <v>Bleu (450 nm)</v>
      </c>
      <c r="I5" s="33" t="n">
        <v>450</v>
      </c>
      <c r="K5" s="70" t="s">
        <v>74</v>
      </c>
    </row>
    <row r="6" customFormat="false" ht="12.75" hidden="false" customHeight="true" outlineLevel="0" collapsed="false">
      <c r="A6" s="77"/>
      <c r="B6" s="78" t="s">
        <v>75</v>
      </c>
      <c r="C6" s="79" t="n">
        <v>500</v>
      </c>
      <c r="D6" s="79" t="n">
        <v>1900</v>
      </c>
      <c r="E6" s="79" t="n">
        <f aca="false">ROUND(D6/C6,1)</f>
        <v>3.8</v>
      </c>
      <c r="F6" s="80" t="n">
        <f aca="false">0.25164*VLOOKUP('Champ - Echantillonnage'!$H$9,'Tubes optiques'!$H$2:$I$12,2,0)/C6</f>
        <v>0.276804</v>
      </c>
      <c r="H6" s="81" t="str">
        <f aca="false">"Ultraviolet ("&amp;I6&amp;" nm)"</f>
        <v>Ultraviolet (300 nm)</v>
      </c>
      <c r="I6" s="33" t="n">
        <v>300</v>
      </c>
      <c r="K6" s="70" t="s">
        <v>76</v>
      </c>
    </row>
    <row r="7" customFormat="false" ht="12.75" hidden="false" customHeight="true" outlineLevel="0" collapsed="false">
      <c r="A7" s="77" t="s">
        <v>70</v>
      </c>
      <c r="B7" s="82" t="s">
        <v>77</v>
      </c>
      <c r="C7" s="83" t="n">
        <v>160</v>
      </c>
      <c r="D7" s="83" t="n">
        <v>1200</v>
      </c>
      <c r="E7" s="83" t="n">
        <f aca="false">ROUND(D7/C7,1)</f>
        <v>7.5</v>
      </c>
      <c r="F7" s="84" t="n">
        <f aca="false">0.25164*VLOOKUP('Champ - Echantillonnage'!$H$9,'Tubes optiques'!$H$2:$I$12,2,0)/C7</f>
        <v>0.8650125</v>
      </c>
      <c r="H7" s="81" t="str">
        <f aca="false">"Hα ("&amp;I7&amp;" nm)"</f>
        <v>Hα (656,3 nm)</v>
      </c>
      <c r="I7" s="40" t="n">
        <v>656.3</v>
      </c>
      <c r="K7" s="70" t="s">
        <v>78</v>
      </c>
    </row>
    <row r="8" customFormat="false" ht="12.75" hidden="false" customHeight="true" outlineLevel="0" collapsed="false">
      <c r="A8" s="77"/>
      <c r="B8" s="82" t="s">
        <v>79</v>
      </c>
      <c r="C8" s="83" t="n">
        <v>140</v>
      </c>
      <c r="D8" s="83" t="n">
        <v>1050</v>
      </c>
      <c r="E8" s="83" t="n">
        <f aca="false">ROUND(D8/C8,1)</f>
        <v>7.5</v>
      </c>
      <c r="F8" s="84" t="n">
        <f aca="false">0.25164*VLOOKUP('Champ - Echantillonnage'!$H$9,'Tubes optiques'!$H$2:$I$12,2,0)/C8</f>
        <v>0.988585714285714</v>
      </c>
      <c r="H8" s="81" t="str">
        <f aca="false">"Hβ ("&amp;I8&amp;" nm)"</f>
        <v>Hβ (486,1 nm)</v>
      </c>
      <c r="I8" s="40" t="n">
        <v>486.1</v>
      </c>
      <c r="K8" s="70" t="s">
        <v>80</v>
      </c>
    </row>
    <row r="9" customFormat="false" ht="12.75" hidden="false" customHeight="true" outlineLevel="0" collapsed="false">
      <c r="A9" s="77"/>
      <c r="B9" s="82" t="s">
        <v>81</v>
      </c>
      <c r="C9" s="83" t="n">
        <v>130</v>
      </c>
      <c r="D9" s="83" t="n">
        <v>819</v>
      </c>
      <c r="E9" s="83" t="n">
        <f aca="false">ROUND(D9/C9,1)</f>
        <v>6.3</v>
      </c>
      <c r="F9" s="84" t="n">
        <f aca="false">0.25164*VLOOKUP('Champ - Echantillonnage'!$H$9,'Tubes optiques'!$H$2:$I$12,2,0)/C9</f>
        <v>1.06463076923077</v>
      </c>
      <c r="H9" s="81" t="str">
        <f aca="false">"Hγ ("&amp;I9&amp;" nm)"</f>
        <v>Hγ (434,1 nm)</v>
      </c>
      <c r="I9" s="40" t="n">
        <v>434.1</v>
      </c>
      <c r="K9" s="70" t="s">
        <v>82</v>
      </c>
    </row>
    <row r="10" customFormat="false" ht="12.75" hidden="false" customHeight="true" outlineLevel="0" collapsed="false">
      <c r="A10" s="77"/>
      <c r="B10" s="82" t="s">
        <v>83</v>
      </c>
      <c r="C10" s="83" t="n">
        <v>155</v>
      </c>
      <c r="D10" s="83" t="n">
        <v>1395</v>
      </c>
      <c r="E10" s="83" t="n">
        <f aca="false">ROUND(D10/C10,1)</f>
        <v>9</v>
      </c>
      <c r="F10" s="84" t="n">
        <f aca="false">0.25164*VLOOKUP('Champ - Echantillonnage'!$H$9,'Tubes optiques'!$H$2:$I$12,2,0)/C10</f>
        <v>0.892916129032258</v>
      </c>
      <c r="H10" s="81" t="str">
        <f aca="false">"OIII ("&amp;I10&amp;" nm)"</f>
        <v>OIII (500,7 nm)</v>
      </c>
      <c r="I10" s="33" t="n">
        <v>500.7</v>
      </c>
      <c r="K10" s="70" t="s">
        <v>84</v>
      </c>
    </row>
    <row r="11" customFormat="false" ht="12.75" hidden="false" customHeight="true" outlineLevel="0" collapsed="false">
      <c r="A11" s="77"/>
      <c r="B11" s="82" t="s">
        <v>85</v>
      </c>
      <c r="C11" s="83" t="n">
        <v>155</v>
      </c>
      <c r="D11" s="83" t="n">
        <v>1085</v>
      </c>
      <c r="E11" s="83" t="n">
        <f aca="false">ROUND(D11/C11,1)</f>
        <v>7</v>
      </c>
      <c r="F11" s="84" t="n">
        <f aca="false">0.25164*VLOOKUP('Champ - Echantillonnage'!$H$9,'Tubes optiques'!$H$2:$I$12,2,0)/C11</f>
        <v>0.892916129032258</v>
      </c>
      <c r="H11" s="81" t="str">
        <f aca="false">"SII ("&amp;I11&amp;" nm)"</f>
        <v>SII (671,8 nm)</v>
      </c>
      <c r="I11" s="33" t="n">
        <v>671.8</v>
      </c>
      <c r="K11" s="0" t="s">
        <v>86</v>
      </c>
    </row>
    <row r="12" customFormat="false" ht="12.75" hidden="false" customHeight="true" outlineLevel="0" collapsed="false">
      <c r="A12" s="77"/>
      <c r="B12" s="82" t="s">
        <v>87</v>
      </c>
      <c r="C12" s="83" t="n">
        <v>130</v>
      </c>
      <c r="D12" s="83" t="n">
        <v>780</v>
      </c>
      <c r="E12" s="83" t="n">
        <f aca="false">ROUND(D12/C12,1)</f>
        <v>6</v>
      </c>
      <c r="F12" s="84" t="n">
        <f aca="false">0.25164*VLOOKUP('Champ - Echantillonnage'!$H$9,'Tubes optiques'!$H$2:$I$12,2,0)/C12</f>
        <v>1.06463076923077</v>
      </c>
      <c r="H12" s="81" t="s">
        <v>88</v>
      </c>
      <c r="I12" s="21" t="n">
        <f aca="false">'Champ - Echantillonnage'!H25</f>
        <v>0</v>
      </c>
      <c r="K12" s="70" t="s">
        <v>89</v>
      </c>
    </row>
    <row r="13" customFormat="false" ht="12.75" hidden="false" customHeight="true" outlineLevel="0" collapsed="false">
      <c r="A13" s="77"/>
      <c r="B13" s="82" t="s">
        <v>90</v>
      </c>
      <c r="C13" s="83" t="n">
        <v>130</v>
      </c>
      <c r="D13" s="83" t="n">
        <v>1040</v>
      </c>
      <c r="E13" s="83" t="n">
        <f aca="false">ROUND(D13/C13,1)</f>
        <v>8</v>
      </c>
      <c r="F13" s="84" t="n">
        <f aca="false">0.25164*VLOOKUP('Champ - Echantillonnage'!$H$9,'Tubes optiques'!$H$2:$I$12,2,0)/C13</f>
        <v>1.06463076923077</v>
      </c>
      <c r="K13" s="70" t="s">
        <v>91</v>
      </c>
    </row>
    <row r="14" customFormat="false" ht="12.75" hidden="false" customHeight="true" outlineLevel="0" collapsed="false">
      <c r="A14" s="77"/>
      <c r="B14" s="82" t="s">
        <v>92</v>
      </c>
      <c r="C14" s="83" t="n">
        <v>105</v>
      </c>
      <c r="D14" s="83" t="n">
        <v>819</v>
      </c>
      <c r="E14" s="83" t="n">
        <f aca="false">ROUND(D14/C14,1)</f>
        <v>7.8</v>
      </c>
      <c r="F14" s="84" t="n">
        <f aca="false">0.25164*VLOOKUP('Champ - Echantillonnage'!$H$9,'Tubes optiques'!$H$2:$I$12,2,0)/C14</f>
        <v>1.31811428571429</v>
      </c>
      <c r="K14" s="70" t="s">
        <v>93</v>
      </c>
    </row>
    <row r="15" customFormat="false" ht="12.75" hidden="false" customHeight="true" outlineLevel="0" collapsed="false">
      <c r="A15" s="77"/>
      <c r="B15" s="82" t="s">
        <v>94</v>
      </c>
      <c r="C15" s="83" t="n">
        <v>305</v>
      </c>
      <c r="D15" s="83" t="n">
        <v>1159</v>
      </c>
      <c r="E15" s="83" t="n">
        <f aca="false">ROUND(D15/C15,1)</f>
        <v>3.8</v>
      </c>
      <c r="F15" s="84" t="n">
        <f aca="false">0.25164*VLOOKUP('Champ - Echantillonnage'!$H$9,'Tubes optiques'!$H$2:$I$12,2,0)/C15</f>
        <v>0.453777049180328</v>
      </c>
      <c r="K15" s="70" t="s">
        <v>95</v>
      </c>
    </row>
    <row r="16" customFormat="false" ht="12.75" hidden="false" customHeight="true" outlineLevel="0" collapsed="false">
      <c r="A16" s="85" t="s">
        <v>96</v>
      </c>
      <c r="B16" s="86" t="s">
        <v>97</v>
      </c>
      <c r="C16" s="87" t="n">
        <v>65</v>
      </c>
      <c r="D16" s="87" t="n">
        <v>420</v>
      </c>
      <c r="E16" s="87" t="n">
        <f aca="false">ROUND(D16/C16,1)</f>
        <v>6.5</v>
      </c>
      <c r="F16" s="88" t="n">
        <f aca="false">0.25164*VLOOKUP('Champ - Echantillonnage'!$H$9,'Tubes optiques'!$H$2:$I$12,2,0)/C16</f>
        <v>2.12926153846154</v>
      </c>
      <c r="K16" s="70" t="s">
        <v>98</v>
      </c>
    </row>
    <row r="17" customFormat="false" ht="12.75" hidden="false" customHeight="true" outlineLevel="0" collapsed="false">
      <c r="A17" s="85"/>
      <c r="B17" s="86" t="s">
        <v>99</v>
      </c>
      <c r="C17" s="87" t="n">
        <v>72</v>
      </c>
      <c r="D17" s="87" t="n">
        <v>430</v>
      </c>
      <c r="E17" s="87" t="n">
        <f aca="false">ROUND(D17/C17,1)</f>
        <v>6</v>
      </c>
      <c r="F17" s="88" t="n">
        <f aca="false">0.25164*VLOOKUP('Champ - Echantillonnage'!$H$9,'Tubes optiques'!$H$2:$I$12,2,0)/C17</f>
        <v>1.92225</v>
      </c>
      <c r="K17" s="70" t="s">
        <v>100</v>
      </c>
    </row>
    <row r="18" customFormat="false" ht="12.75" hidden="false" customHeight="true" outlineLevel="0" collapsed="false">
      <c r="A18" s="85"/>
      <c r="B18" s="86" t="s">
        <v>101</v>
      </c>
      <c r="C18" s="87" t="n">
        <v>80</v>
      </c>
      <c r="D18" s="87" t="n">
        <v>480</v>
      </c>
      <c r="E18" s="87" t="n">
        <f aca="false">ROUND(D18/C18,1)</f>
        <v>6</v>
      </c>
      <c r="F18" s="88" t="n">
        <f aca="false">0.25164*VLOOKUP('Champ - Echantillonnage'!$H$9,'Tubes optiques'!$H$2:$I$12,2,0)/C18</f>
        <v>1.730025</v>
      </c>
      <c r="K18" s="70" t="s">
        <v>102</v>
      </c>
    </row>
    <row r="19" customFormat="false" ht="12.75" hidden="false" customHeight="true" outlineLevel="0" collapsed="false">
      <c r="A19" s="85"/>
      <c r="B19" s="86" t="s">
        <v>103</v>
      </c>
      <c r="C19" s="87" t="n">
        <v>90</v>
      </c>
      <c r="D19" s="87" t="n">
        <v>600</v>
      </c>
      <c r="E19" s="87" t="n">
        <f aca="false">ROUND(D19/C19,1)</f>
        <v>6.7</v>
      </c>
      <c r="F19" s="88" t="n">
        <f aca="false">0.25164*VLOOKUP('Champ - Echantillonnage'!$H$9,'Tubes optiques'!$H$2:$I$12,2,0)/C19</f>
        <v>1.5378</v>
      </c>
    </row>
    <row r="20" customFormat="false" ht="12.75" hidden="false" customHeight="true" outlineLevel="0" collapsed="false">
      <c r="A20" s="85"/>
      <c r="B20" s="86" t="s">
        <v>104</v>
      </c>
      <c r="C20" s="87" t="n">
        <v>106</v>
      </c>
      <c r="D20" s="87" t="n">
        <v>690</v>
      </c>
      <c r="E20" s="87" t="n">
        <f aca="false">ROUND(D20/C20,1)</f>
        <v>6.5</v>
      </c>
      <c r="F20" s="88" t="n">
        <f aca="false">0.25164*VLOOKUP('Champ - Echantillonnage'!$H$9,'Tubes optiques'!$H$2:$I$12,2,0)/C20</f>
        <v>1.30567924528302</v>
      </c>
    </row>
    <row r="21" customFormat="false" ht="12.75" hidden="false" customHeight="true" outlineLevel="0" collapsed="false">
      <c r="A21" s="85"/>
      <c r="B21" s="86" t="s">
        <v>105</v>
      </c>
      <c r="C21" s="87" t="n">
        <v>111</v>
      </c>
      <c r="D21" s="87" t="n">
        <v>777</v>
      </c>
      <c r="E21" s="87" t="n">
        <f aca="false">ROUND(D21/C21,1)</f>
        <v>7</v>
      </c>
      <c r="F21" s="88" t="n">
        <f aca="false">0.25164*VLOOKUP('Champ - Echantillonnage'!$H$9,'Tubes optiques'!$H$2:$I$12,2,0)/C21</f>
        <v>1.24686486486486</v>
      </c>
    </row>
    <row r="22" customFormat="false" ht="12.75" hidden="false" customHeight="true" outlineLevel="0" collapsed="false">
      <c r="A22" s="85"/>
      <c r="B22" s="86" t="s">
        <v>106</v>
      </c>
      <c r="C22" s="87" t="n">
        <v>130</v>
      </c>
      <c r="D22" s="87" t="n">
        <v>780</v>
      </c>
      <c r="E22" s="87" t="n">
        <f aca="false">ROUND(D22/C22,1)</f>
        <v>6</v>
      </c>
      <c r="F22" s="88" t="n">
        <f aca="false">0.25164*VLOOKUP('Champ - Echantillonnage'!$H$9,'Tubes optiques'!$H$2:$I$12,2,0)/C22</f>
        <v>1.06463076923077</v>
      </c>
    </row>
    <row r="23" customFormat="false" ht="12.75" hidden="false" customHeight="true" outlineLevel="0" collapsed="false">
      <c r="A23" s="85"/>
      <c r="B23" s="86" t="s">
        <v>107</v>
      </c>
      <c r="C23" s="87" t="n">
        <v>152</v>
      </c>
      <c r="D23" s="87" t="n">
        <v>1370</v>
      </c>
      <c r="E23" s="87" t="n">
        <f aca="false">ROUND(D23/C23,1)</f>
        <v>9</v>
      </c>
      <c r="F23" s="88" t="n">
        <f aca="false">0.25164*VLOOKUP('Champ - Echantillonnage'!$H$9,'Tubes optiques'!$H$2:$I$12,2,0)/C23</f>
        <v>0.91053947368421</v>
      </c>
    </row>
    <row r="24" customFormat="false" ht="12.75" hidden="false" customHeight="true" outlineLevel="0" collapsed="false">
      <c r="A24" s="85"/>
      <c r="B24" s="86" t="s">
        <v>108</v>
      </c>
      <c r="C24" s="87" t="n">
        <v>203</v>
      </c>
      <c r="D24" s="87" t="n">
        <v>1625</v>
      </c>
      <c r="E24" s="87" t="n">
        <f aca="false">ROUND(D24/C24,1)</f>
        <v>8</v>
      </c>
      <c r="F24" s="88" t="n">
        <f aca="false">0.25164*VLOOKUP('Champ - Echantillonnage'!$H$9,'Tubes optiques'!$H$2:$I$12,2,0)/C24</f>
        <v>0.681783251231527</v>
      </c>
    </row>
    <row r="25" customFormat="false" ht="12.75" hidden="false" customHeight="true" outlineLevel="0" collapsed="false">
      <c r="A25" s="85"/>
      <c r="B25" s="86" t="s">
        <v>109</v>
      </c>
      <c r="C25" s="87" t="n">
        <v>250</v>
      </c>
      <c r="D25" s="87" t="n">
        <v>2000</v>
      </c>
      <c r="E25" s="87" t="n">
        <f aca="false">ROUND(D25/C25,1)</f>
        <v>8</v>
      </c>
      <c r="F25" s="88" t="n">
        <f aca="false">0.25164*VLOOKUP('Champ - Echantillonnage'!$H$9,'Tubes optiques'!$H$2:$I$12,2,0)/C25</f>
        <v>0.553608</v>
      </c>
    </row>
    <row r="26" customFormat="false" ht="12.75" hidden="false" customHeight="true" outlineLevel="0" collapsed="false">
      <c r="A26" s="77" t="s">
        <v>76</v>
      </c>
      <c r="B26" s="89" t="s">
        <v>110</v>
      </c>
      <c r="C26" s="90" t="n">
        <v>80</v>
      </c>
      <c r="D26" s="90" t="n">
        <v>500</v>
      </c>
      <c r="E26" s="90" t="n">
        <f aca="false">ROUND(D26/C26,1)</f>
        <v>6.3</v>
      </c>
      <c r="F26" s="91" t="n">
        <f aca="false">0.25164*VLOOKUP('Champ - Echantillonnage'!$H$9,'Tubes optiques'!$H$2:$I$12,2,0)/C26</f>
        <v>1.730025</v>
      </c>
    </row>
    <row r="27" customFormat="false" ht="12.75" hidden="false" customHeight="true" outlineLevel="0" collapsed="false">
      <c r="A27" s="77"/>
      <c r="B27" s="89" t="s">
        <v>111</v>
      </c>
      <c r="C27" s="90" t="n">
        <v>203</v>
      </c>
      <c r="D27" s="90" t="n">
        <v>2032</v>
      </c>
      <c r="E27" s="90" t="n">
        <f aca="false">ROUND(D27/C27,1)</f>
        <v>10</v>
      </c>
      <c r="F27" s="91" t="n">
        <f aca="false">0.25164*VLOOKUP('Champ - Echantillonnage'!$H$9,'Tubes optiques'!$H$2:$I$12,2,0)/C27</f>
        <v>0.681783251231527</v>
      </c>
    </row>
    <row r="28" customFormat="false" ht="12.75" hidden="false" customHeight="true" outlineLevel="0" collapsed="false">
      <c r="A28" s="77"/>
      <c r="B28" s="89" t="s">
        <v>112</v>
      </c>
      <c r="C28" s="90" t="n">
        <v>235</v>
      </c>
      <c r="D28" s="90" t="n">
        <v>2350</v>
      </c>
      <c r="E28" s="90" t="n">
        <f aca="false">ROUND(D28/C28,1)</f>
        <v>10</v>
      </c>
      <c r="F28" s="91" t="n">
        <f aca="false">0.25164*VLOOKUP('Champ - Echantillonnage'!$H$9,'Tubes optiques'!$H$2:$I$12,2,0)/C28</f>
        <v>0.588944680851064</v>
      </c>
    </row>
    <row r="29" customFormat="false" ht="12.75" hidden="false" customHeight="true" outlineLevel="0" collapsed="false">
      <c r="A29" s="77"/>
      <c r="B29" s="89" t="s">
        <v>113</v>
      </c>
      <c r="C29" s="90" t="n">
        <v>280</v>
      </c>
      <c r="D29" s="90" t="n">
        <v>2800</v>
      </c>
      <c r="E29" s="90" t="n">
        <f aca="false">ROUND(D29/C29,1)</f>
        <v>10</v>
      </c>
      <c r="F29" s="91" t="n">
        <f aca="false">0.25164*VLOOKUP('Champ - Echantillonnage'!$H$9,'Tubes optiques'!$H$2:$I$12,2,0)/C29</f>
        <v>0.494292857142857</v>
      </c>
    </row>
    <row r="30" customFormat="false" ht="12.75" hidden="false" customHeight="true" outlineLevel="0" collapsed="false">
      <c r="A30" s="77"/>
      <c r="B30" s="89" t="s">
        <v>114</v>
      </c>
      <c r="C30" s="90" t="n">
        <v>355</v>
      </c>
      <c r="D30" s="90" t="n">
        <v>3910</v>
      </c>
      <c r="E30" s="90" t="n">
        <f aca="false">ROUND(D30/C30,1)</f>
        <v>11</v>
      </c>
      <c r="F30" s="91" t="n">
        <f aca="false">0.25164*VLOOKUP('Champ - Echantillonnage'!$H$9,'Tubes optiques'!$H$2:$I$12,2,0)/C30</f>
        <v>0.389864788732394</v>
      </c>
    </row>
    <row r="31" customFormat="false" ht="12.75" hidden="false" customHeight="true" outlineLevel="0" collapsed="false">
      <c r="A31" s="85" t="s">
        <v>78</v>
      </c>
      <c r="B31" s="82" t="s">
        <v>107</v>
      </c>
      <c r="C31" s="83" t="n">
        <v>152</v>
      </c>
      <c r="D31" s="83" t="n">
        <v>1370</v>
      </c>
      <c r="E31" s="83" t="n">
        <f aca="false">ROUND(D31/C31,1)</f>
        <v>9</v>
      </c>
      <c r="F31" s="84" t="n">
        <f aca="false">0.25164*VLOOKUP('Champ - Echantillonnage'!$H$9,'Tubes optiques'!$H$2:$I$12,2,0)/C31</f>
        <v>0.91053947368421</v>
      </c>
    </row>
    <row r="32" customFormat="false" ht="12.75" hidden="false" customHeight="true" outlineLevel="0" collapsed="false">
      <c r="A32" s="85"/>
      <c r="B32" s="82" t="s">
        <v>108</v>
      </c>
      <c r="C32" s="83" t="n">
        <v>203</v>
      </c>
      <c r="D32" s="83" t="n">
        <v>1624</v>
      </c>
      <c r="E32" s="83" t="n">
        <f aca="false">ROUND(D32/C32,1)</f>
        <v>8</v>
      </c>
      <c r="F32" s="84" t="n">
        <f aca="false">0.25164*VLOOKUP('Champ - Echantillonnage'!$H$9,'Tubes optiques'!$H$2:$I$12,2,0)/C32</f>
        <v>0.681783251231527</v>
      </c>
    </row>
    <row r="33" customFormat="false" ht="12.75" hidden="false" customHeight="true" outlineLevel="0" collapsed="false">
      <c r="A33" s="85"/>
      <c r="B33" s="82" t="s">
        <v>109</v>
      </c>
      <c r="C33" s="83" t="n">
        <v>254</v>
      </c>
      <c r="D33" s="83" t="n">
        <v>2000</v>
      </c>
      <c r="E33" s="83" t="n">
        <f aca="false">ROUND(D33/C33,1)</f>
        <v>7.9</v>
      </c>
      <c r="F33" s="84" t="n">
        <f aca="false">0.25164*VLOOKUP('Champ - Echantillonnage'!$H$9,'Tubes optiques'!$H$2:$I$12,2,0)/C33</f>
        <v>0.544889763779527</v>
      </c>
    </row>
    <row r="34" customFormat="false" ht="12.75" hidden="false" customHeight="true" outlineLevel="0" collapsed="false">
      <c r="A34" s="85"/>
      <c r="B34" s="82" t="s">
        <v>115</v>
      </c>
      <c r="C34" s="83" t="n">
        <v>305</v>
      </c>
      <c r="D34" s="83" t="n">
        <v>2432</v>
      </c>
      <c r="E34" s="83" t="n">
        <f aca="false">ROUND(D34/C34,1)</f>
        <v>8</v>
      </c>
      <c r="F34" s="84" t="n">
        <f aca="false">0.25164*VLOOKUP('Champ - Echantillonnage'!$H$9,'Tubes optiques'!$H$2:$I$12,2,0)/C34</f>
        <v>0.453777049180328</v>
      </c>
    </row>
    <row r="35" customFormat="false" ht="12.75" hidden="false" customHeight="true" outlineLevel="0" collapsed="false">
      <c r="A35" s="77" t="s">
        <v>80</v>
      </c>
      <c r="B35" s="92" t="s">
        <v>116</v>
      </c>
      <c r="C35" s="93" t="n">
        <v>203</v>
      </c>
      <c r="D35" s="93" t="n">
        <v>2000</v>
      </c>
      <c r="E35" s="93" t="n">
        <f aca="false">ROUND(D35/C35,1)</f>
        <v>9.9</v>
      </c>
      <c r="F35" s="94" t="n">
        <f aca="false">0.25164*VLOOKUP('Champ - Echantillonnage'!$H$9,'Tubes optiques'!$H$2:$I$12,2,0)/C35</f>
        <v>0.681783251231527</v>
      </c>
    </row>
    <row r="36" customFormat="false" ht="12.75" hidden="false" customHeight="true" outlineLevel="0" collapsed="false">
      <c r="A36" s="77"/>
      <c r="B36" s="92" t="s">
        <v>117</v>
      </c>
      <c r="C36" s="93" t="n">
        <v>254</v>
      </c>
      <c r="D36" s="93" t="n">
        <v>2500</v>
      </c>
      <c r="E36" s="93" t="n">
        <f aca="false">ROUND(D36/C36,1)</f>
        <v>9.8</v>
      </c>
      <c r="F36" s="94" t="n">
        <f aca="false">0.25164*VLOOKUP('Champ - Echantillonnage'!$H$9,'Tubes optiques'!$H$2:$I$12,2,0)/C36</f>
        <v>0.544889763779527</v>
      </c>
    </row>
    <row r="37" customFormat="false" ht="12.75" hidden="false" customHeight="true" outlineLevel="0" collapsed="false">
      <c r="A37" s="77"/>
      <c r="B37" s="92" t="s">
        <v>118</v>
      </c>
      <c r="C37" s="93" t="n">
        <v>305</v>
      </c>
      <c r="D37" s="93" t="n">
        <v>3048</v>
      </c>
      <c r="E37" s="93" t="n">
        <f aca="false">ROUND(D37/C37,1)</f>
        <v>10</v>
      </c>
      <c r="F37" s="94" t="n">
        <f aca="false">0.25164*VLOOKUP('Champ - Echantillonnage'!$H$9,'Tubes optiques'!$H$2:$I$12,2,0)/C37</f>
        <v>0.453777049180328</v>
      </c>
    </row>
    <row r="38" customFormat="false" ht="12.75" hidden="false" customHeight="true" outlineLevel="0" collapsed="false">
      <c r="A38" s="77"/>
      <c r="B38" s="92" t="s">
        <v>119</v>
      </c>
      <c r="C38" s="93" t="n">
        <v>355</v>
      </c>
      <c r="D38" s="93" t="n">
        <v>3556</v>
      </c>
      <c r="E38" s="93" t="n">
        <f aca="false">ROUND(D38/C38,1)</f>
        <v>10</v>
      </c>
      <c r="F38" s="94" t="n">
        <f aca="false">0.25164*VLOOKUP('Champ - Echantillonnage'!$H$9,'Tubes optiques'!$H$2:$I$12,2,0)/C38</f>
        <v>0.389864788732394</v>
      </c>
    </row>
    <row r="39" customFormat="false" ht="12.75" hidden="false" customHeight="true" outlineLevel="0" collapsed="false">
      <c r="A39" s="77"/>
      <c r="B39" s="92" t="s">
        <v>120</v>
      </c>
      <c r="C39" s="93" t="n">
        <v>406</v>
      </c>
      <c r="D39" s="93" t="n">
        <v>4064</v>
      </c>
      <c r="E39" s="93" t="n">
        <f aca="false">ROUND(D39/C39,1)</f>
        <v>10</v>
      </c>
      <c r="F39" s="94" t="n">
        <f aca="false">0.25164*VLOOKUP('Champ - Echantillonnage'!$H$9,'Tubes optiques'!$H$2:$I$12,2,0)/C39</f>
        <v>0.340891625615764</v>
      </c>
    </row>
    <row r="40" customFormat="false" ht="12.75" hidden="false" customHeight="true" outlineLevel="0" collapsed="false">
      <c r="A40" s="77"/>
      <c r="B40" s="92" t="s">
        <v>121</v>
      </c>
      <c r="C40" s="93" t="n">
        <v>203</v>
      </c>
      <c r="D40" s="93" t="n">
        <v>2034</v>
      </c>
      <c r="E40" s="93" t="n">
        <f aca="false">ROUND(D40/C40,1)</f>
        <v>10</v>
      </c>
      <c r="F40" s="94" t="n">
        <f aca="false">0.25164*VLOOKUP('Champ - Echantillonnage'!$H$9,'Tubes optiques'!$H$2:$I$12,2,0)/C40</f>
        <v>0.681783251231527</v>
      </c>
    </row>
    <row r="41" customFormat="false" ht="12.75" hidden="false" customHeight="true" outlineLevel="0" collapsed="false">
      <c r="A41" s="77"/>
      <c r="B41" s="92" t="s">
        <v>122</v>
      </c>
      <c r="C41" s="93" t="n">
        <v>254</v>
      </c>
      <c r="D41" s="93" t="n">
        <v>2540</v>
      </c>
      <c r="E41" s="93" t="n">
        <f aca="false">ROUND(D41/C41,1)</f>
        <v>10</v>
      </c>
      <c r="F41" s="94" t="n">
        <f aca="false">0.25164*VLOOKUP('Champ - Echantillonnage'!$H$9,'Tubes optiques'!$H$2:$I$12,2,0)/C41</f>
        <v>0.544889763779527</v>
      </c>
    </row>
    <row r="42" customFormat="false" ht="12.75" hidden="false" customHeight="true" outlineLevel="0" collapsed="false">
      <c r="A42" s="77"/>
      <c r="B42" s="92" t="s">
        <v>123</v>
      </c>
      <c r="C42" s="93" t="n">
        <v>305</v>
      </c>
      <c r="D42" s="93" t="n">
        <v>3048</v>
      </c>
      <c r="E42" s="93" t="n">
        <f aca="false">ROUND(D42/C42,1)</f>
        <v>10</v>
      </c>
      <c r="F42" s="94" t="n">
        <f aca="false">0.25164*VLOOKUP('Champ - Echantillonnage'!$H$9,'Tubes optiques'!$H$2:$I$12,2,0)/C42</f>
        <v>0.453777049180328</v>
      </c>
    </row>
    <row r="43" customFormat="false" ht="12.75" hidden="false" customHeight="true" outlineLevel="0" collapsed="false">
      <c r="A43" s="85" t="s">
        <v>124</v>
      </c>
      <c r="B43" s="95" t="s">
        <v>125</v>
      </c>
      <c r="C43" s="96" t="n">
        <v>80</v>
      </c>
      <c r="D43" s="96" t="n">
        <v>480</v>
      </c>
      <c r="E43" s="96" t="n">
        <f aca="false">ROUND(D43/C43,1)</f>
        <v>6</v>
      </c>
      <c r="F43" s="80" t="n">
        <f aca="false">0.25164*VLOOKUP('Champ - Echantillonnage'!$H$9,'Tubes optiques'!$H$2:$I$12,2,0)/C43</f>
        <v>1.730025</v>
      </c>
    </row>
    <row r="44" customFormat="false" ht="12.75" hidden="false" customHeight="true" outlineLevel="0" collapsed="false">
      <c r="A44" s="85"/>
      <c r="B44" s="95" t="s">
        <v>126</v>
      </c>
      <c r="C44" s="96" t="n">
        <v>105</v>
      </c>
      <c r="D44" s="96" t="n">
        <v>650</v>
      </c>
      <c r="E44" s="96" t="n">
        <f aca="false">ROUND(D44/C44,1)</f>
        <v>6.2</v>
      </c>
      <c r="F44" s="80" t="n">
        <f aca="false">0.25164*VLOOKUP('Champ - Echantillonnage'!$H$9,'Tubes optiques'!$H$2:$I$12,2,0)/C44</f>
        <v>1.31811428571429</v>
      </c>
    </row>
    <row r="45" customFormat="false" ht="12.75" hidden="false" customHeight="true" outlineLevel="0" collapsed="false">
      <c r="A45" s="85"/>
      <c r="B45" s="95" t="s">
        <v>127</v>
      </c>
      <c r="C45" s="96" t="n">
        <v>115</v>
      </c>
      <c r="D45" s="96" t="n">
        <v>805</v>
      </c>
      <c r="E45" s="96" t="n">
        <f aca="false">ROUND(D45/C45,1)</f>
        <v>7</v>
      </c>
      <c r="F45" s="80" t="n">
        <f aca="false">0.25164*VLOOKUP('Champ - Echantillonnage'!$H$9,'Tubes optiques'!$H$2:$I$12,2,0)/C45</f>
        <v>1.20349565217391</v>
      </c>
    </row>
    <row r="46" customFormat="false" ht="12.75" hidden="false" customHeight="true" outlineLevel="0" collapsed="false">
      <c r="A46" s="85"/>
      <c r="B46" s="95" t="s">
        <v>128</v>
      </c>
      <c r="C46" s="96" t="n">
        <v>130</v>
      </c>
      <c r="D46" s="96" t="n">
        <v>780</v>
      </c>
      <c r="E46" s="96" t="n">
        <f aca="false">ROUND(D46/C46,1)</f>
        <v>6</v>
      </c>
      <c r="F46" s="80" t="n">
        <f aca="false">0.25164*VLOOKUP('Champ - Echantillonnage'!$H$9,'Tubes optiques'!$H$2:$I$12,2,0)/C46</f>
        <v>1.06463076923077</v>
      </c>
    </row>
    <row r="47" customFormat="false" ht="12.75" hidden="false" customHeight="true" outlineLevel="0" collapsed="false">
      <c r="A47" s="85"/>
      <c r="B47" s="95" t="s">
        <v>129</v>
      </c>
      <c r="C47" s="96" t="n">
        <v>152</v>
      </c>
      <c r="D47" s="96" t="n">
        <v>1200</v>
      </c>
      <c r="E47" s="96" t="n">
        <f aca="false">ROUND(D47/C47,1)</f>
        <v>7.9</v>
      </c>
      <c r="F47" s="80" t="n">
        <f aca="false">0.25164*VLOOKUP('Champ - Echantillonnage'!$H$9,'Tubes optiques'!$H$2:$I$12,2,0)/C47</f>
        <v>0.91053947368421</v>
      </c>
    </row>
    <row r="48" customFormat="false" ht="12.75" hidden="false" customHeight="true" outlineLevel="0" collapsed="false">
      <c r="A48" s="85"/>
      <c r="B48" s="95" t="s">
        <v>130</v>
      </c>
      <c r="C48" s="96" t="n">
        <v>180</v>
      </c>
      <c r="D48" s="96" t="n">
        <v>1260</v>
      </c>
      <c r="E48" s="96" t="n">
        <f aca="false">ROUND(D48/C48,1)</f>
        <v>7</v>
      </c>
      <c r="F48" s="80" t="n">
        <f aca="false">0.25164*VLOOKUP('Champ - Echantillonnage'!$H$9,'Tubes optiques'!$H$2:$I$12,2,0)/C48</f>
        <v>0.7689</v>
      </c>
    </row>
    <row r="49" customFormat="false" ht="12.75" hidden="false" customHeight="true" outlineLevel="0" collapsed="false">
      <c r="A49" s="85"/>
      <c r="B49" s="95" t="s">
        <v>131</v>
      </c>
      <c r="C49" s="96" t="n">
        <v>312</v>
      </c>
      <c r="D49" s="96" t="n">
        <v>1680</v>
      </c>
      <c r="E49" s="96" t="n">
        <f aca="false">ROUND(D49/C49,1)</f>
        <v>5.4</v>
      </c>
      <c r="F49" s="80" t="n">
        <f aca="false">0.25164*VLOOKUP('Champ - Echantillonnage'!$H$9,'Tubes optiques'!$H$2:$I$12,2,0)/C49</f>
        <v>0.443596153846154</v>
      </c>
    </row>
    <row r="50" customFormat="false" ht="12.75" hidden="false" customHeight="true" outlineLevel="0" collapsed="false">
      <c r="A50" s="85"/>
      <c r="B50" s="95" t="s">
        <v>132</v>
      </c>
      <c r="C50" s="96" t="n">
        <v>200</v>
      </c>
      <c r="D50" s="96" t="n">
        <v>600</v>
      </c>
      <c r="E50" s="96" t="n">
        <f aca="false">ROUND(D50/C50,1)</f>
        <v>3</v>
      </c>
      <c r="F50" s="80" t="n">
        <f aca="false">0.25164*VLOOKUP('Champ - Echantillonnage'!$H$9,'Tubes optiques'!$H$2:$I$12,2,0)/C50</f>
        <v>0.69201</v>
      </c>
    </row>
    <row r="51" customFormat="false" ht="12.75" hidden="false" customHeight="true" outlineLevel="0" collapsed="false">
      <c r="A51" s="85"/>
      <c r="B51" s="95" t="s">
        <v>133</v>
      </c>
      <c r="C51" s="96" t="n">
        <v>300</v>
      </c>
      <c r="D51" s="96" t="n">
        <v>900</v>
      </c>
      <c r="E51" s="96" t="n">
        <f aca="false">ROUND(D51/C51,1)</f>
        <v>3</v>
      </c>
      <c r="F51" s="80" t="n">
        <f aca="false">0.25164*VLOOKUP('Champ - Echantillonnage'!$H$9,'Tubes optiques'!$H$2:$I$12,2,0)/C51</f>
        <v>0.46134</v>
      </c>
    </row>
    <row r="52" customFormat="false" ht="12.75" hidden="false" customHeight="true" outlineLevel="0" collapsed="false">
      <c r="A52" s="85"/>
      <c r="B52" s="95" t="s">
        <v>134</v>
      </c>
      <c r="C52" s="96" t="n">
        <v>250</v>
      </c>
      <c r="D52" s="96" t="n">
        <v>3125</v>
      </c>
      <c r="E52" s="96" t="n">
        <f aca="false">ROUND(D52/C52,1)</f>
        <v>12.5</v>
      </c>
      <c r="F52" s="80" t="n">
        <f aca="false">0.25164*VLOOKUP('Champ - Echantillonnage'!$H$9,'Tubes optiques'!$H$2:$I$12,2,0)/C52</f>
        <v>0.553608</v>
      </c>
    </row>
    <row r="53" customFormat="false" ht="12.75" hidden="false" customHeight="true" outlineLevel="0" collapsed="false">
      <c r="A53" s="85"/>
      <c r="B53" s="95" t="s">
        <v>135</v>
      </c>
      <c r="C53" s="96" t="n">
        <v>250</v>
      </c>
      <c r="D53" s="96" t="n">
        <v>2000</v>
      </c>
      <c r="E53" s="96" t="n">
        <f aca="false">ROUND(D53/C53,1)</f>
        <v>8</v>
      </c>
      <c r="F53" s="80" t="n">
        <f aca="false">0.25164*VLOOKUP('Champ - Echantillonnage'!$H$9,'Tubes optiques'!$H$2:$I$12,2,0)/C53</f>
        <v>0.553608</v>
      </c>
    </row>
    <row r="54" customFormat="false" ht="12.75" hidden="false" customHeight="true" outlineLevel="0" collapsed="false">
      <c r="A54" s="85"/>
      <c r="B54" s="95" t="s">
        <v>136</v>
      </c>
      <c r="C54" s="96" t="n">
        <v>320</v>
      </c>
      <c r="D54" s="96" t="n">
        <v>2560</v>
      </c>
      <c r="E54" s="96" t="n">
        <f aca="false">ROUND(D54/C54,1)</f>
        <v>8</v>
      </c>
      <c r="F54" s="80" t="n">
        <f aca="false">0.25164*VLOOKUP('Champ - Echantillonnage'!$H$9,'Tubes optiques'!$H$2:$I$12,2,0)/C54</f>
        <v>0.43250625</v>
      </c>
    </row>
    <row r="55" customFormat="false" ht="12.75" hidden="false" customHeight="true" outlineLevel="0" collapsed="false">
      <c r="A55" s="85"/>
      <c r="B55" s="95" t="s">
        <v>137</v>
      </c>
      <c r="C55" s="96" t="n">
        <v>360</v>
      </c>
      <c r="D55" s="96" t="n">
        <v>2880</v>
      </c>
      <c r="E55" s="96" t="n">
        <f aca="false">ROUND(D55/C55,1)</f>
        <v>8</v>
      </c>
      <c r="F55" s="80" t="n">
        <f aca="false">0.25164*VLOOKUP('Champ - Echantillonnage'!$H$9,'Tubes optiques'!$H$2:$I$12,2,0)/C55</f>
        <v>0.38445</v>
      </c>
    </row>
    <row r="56" customFormat="false" ht="12.75" hidden="false" customHeight="true" outlineLevel="0" collapsed="false">
      <c r="A56" s="85"/>
      <c r="B56" s="95" t="s">
        <v>138</v>
      </c>
      <c r="C56" s="96" t="n">
        <v>400</v>
      </c>
      <c r="D56" s="96" t="n">
        <v>3200</v>
      </c>
      <c r="E56" s="96" t="n">
        <f aca="false">ROUND(D56/C56,1)</f>
        <v>8</v>
      </c>
      <c r="F56" s="80" t="n">
        <f aca="false">0.25164*VLOOKUP('Champ - Echantillonnage'!$H$9,'Tubes optiques'!$H$2:$I$12,2,0)/C56</f>
        <v>0.346005</v>
      </c>
    </row>
    <row r="57" customFormat="false" ht="12.75" hidden="false" customHeight="true" outlineLevel="0" collapsed="false">
      <c r="A57" s="85"/>
      <c r="B57" s="95" t="s">
        <v>138</v>
      </c>
      <c r="C57" s="96" t="n">
        <v>500</v>
      </c>
      <c r="D57" s="96" t="n">
        <v>4000</v>
      </c>
      <c r="E57" s="96" t="n">
        <f aca="false">ROUND(D57/C57,1)</f>
        <v>8</v>
      </c>
      <c r="F57" s="80" t="n">
        <f aca="false">0.25164*VLOOKUP('Champ - Echantillonnage'!$H$9,'Tubes optiques'!$H$2:$I$12,2,0)/C57</f>
        <v>0.276804</v>
      </c>
    </row>
    <row r="58" customFormat="false" ht="12.75" hidden="false" customHeight="true" outlineLevel="0" collapsed="false">
      <c r="A58" s="85"/>
      <c r="B58" s="95" t="s">
        <v>138</v>
      </c>
      <c r="C58" s="96" t="n">
        <v>600</v>
      </c>
      <c r="D58" s="96" t="n">
        <v>4800</v>
      </c>
      <c r="E58" s="96" t="n">
        <f aca="false">ROUND(D58/C58,1)</f>
        <v>8</v>
      </c>
      <c r="F58" s="80" t="n">
        <f aca="false">0.25164*VLOOKUP('Champ - Echantillonnage'!$H$9,'Tubes optiques'!$H$2:$I$12,2,0)/C58</f>
        <v>0.23067</v>
      </c>
    </row>
    <row r="59" customFormat="false" ht="12.75" hidden="false" customHeight="true" outlineLevel="0" collapsed="false">
      <c r="A59" s="77" t="s">
        <v>84</v>
      </c>
      <c r="B59" s="97" t="s">
        <v>139</v>
      </c>
      <c r="C59" s="98" t="n">
        <v>80</v>
      </c>
      <c r="D59" s="98" t="n">
        <v>600</v>
      </c>
      <c r="E59" s="98" t="n">
        <f aca="false">ROUND(D59/C59,1)</f>
        <v>7.5</v>
      </c>
      <c r="F59" s="88" t="n">
        <f aca="false">0.25164*VLOOKUP('Champ - Echantillonnage'!$H$9,'Tubes optiques'!$H$2:$I$12,2,0)/C59</f>
        <v>1.730025</v>
      </c>
    </row>
    <row r="60" customFormat="false" ht="12.75" hidden="false" customHeight="true" outlineLevel="0" collapsed="false">
      <c r="A60" s="77"/>
      <c r="B60" s="97" t="s">
        <v>140</v>
      </c>
      <c r="C60" s="98" t="n">
        <v>80</v>
      </c>
      <c r="D60" s="98" t="n">
        <v>480</v>
      </c>
      <c r="E60" s="98" t="n">
        <f aca="false">ROUND(D60/C60,1)</f>
        <v>6</v>
      </c>
      <c r="F60" s="88" t="n">
        <f aca="false">0.25164*VLOOKUP('Champ - Echantillonnage'!$H$9,'Tubes optiques'!$H$2:$I$12,2,0)/C60</f>
        <v>1.730025</v>
      </c>
    </row>
    <row r="61" customFormat="false" ht="12.75" hidden="false" customHeight="true" outlineLevel="0" collapsed="false">
      <c r="A61" s="77"/>
      <c r="B61" s="97" t="s">
        <v>141</v>
      </c>
      <c r="C61" s="98" t="n">
        <v>100</v>
      </c>
      <c r="D61" s="98" t="n">
        <v>900</v>
      </c>
      <c r="E61" s="98" t="n">
        <f aca="false">ROUND(D61/C61,1)</f>
        <v>9</v>
      </c>
      <c r="F61" s="88" t="n">
        <f aca="false">0.25164*VLOOKUP('Champ - Echantillonnage'!$H$9,'Tubes optiques'!$H$2:$I$12,2,0)/C61</f>
        <v>1.38402</v>
      </c>
    </row>
    <row r="62" customFormat="false" ht="12.75" hidden="false" customHeight="true" outlineLevel="0" collapsed="false">
      <c r="A62" s="77"/>
      <c r="B62" s="97" t="s">
        <v>142</v>
      </c>
      <c r="C62" s="98" t="n">
        <v>102</v>
      </c>
      <c r="D62" s="98" t="n">
        <v>714</v>
      </c>
      <c r="E62" s="98" t="n">
        <f aca="false">ROUND(D62/C62,1)</f>
        <v>7</v>
      </c>
      <c r="F62" s="88" t="n">
        <f aca="false">0.25164*VLOOKUP('Champ - Echantillonnage'!$H$9,'Tubes optiques'!$H$2:$I$12,2,0)/C62</f>
        <v>1.35688235294118</v>
      </c>
    </row>
    <row r="63" customFormat="false" ht="12.75" hidden="false" customHeight="true" outlineLevel="0" collapsed="false">
      <c r="A63" s="77"/>
      <c r="B63" s="97" t="s">
        <v>143</v>
      </c>
      <c r="C63" s="98" t="n">
        <v>254</v>
      </c>
      <c r="D63" s="98" t="n">
        <v>1000</v>
      </c>
      <c r="E63" s="98" t="n">
        <f aca="false">ROUND(D63/C63,1)</f>
        <v>3.9</v>
      </c>
      <c r="F63" s="88" t="n">
        <f aca="false">0.25164*VLOOKUP('Champ - Echantillonnage'!$H$9,'Tubes optiques'!$H$2:$I$12,2,0)/C63</f>
        <v>0.544889763779527</v>
      </c>
    </row>
    <row r="64" customFormat="false" ht="12.75" hidden="false" customHeight="true" outlineLevel="0" collapsed="false">
      <c r="A64" s="77"/>
      <c r="B64" s="97" t="s">
        <v>144</v>
      </c>
      <c r="C64" s="98" t="n">
        <v>90</v>
      </c>
      <c r="D64" s="98" t="n">
        <v>1250</v>
      </c>
      <c r="E64" s="98" t="n">
        <f aca="false">ROUND(D64/C64,1)</f>
        <v>13.9</v>
      </c>
      <c r="F64" s="88" t="n">
        <f aca="false">0.25164*VLOOKUP('Champ - Echantillonnage'!$H$9,'Tubes optiques'!$H$2:$I$12,2,0)/C64</f>
        <v>1.5378</v>
      </c>
    </row>
    <row r="65" customFormat="false" ht="12.75" hidden="false" customHeight="true" outlineLevel="0" collapsed="false">
      <c r="A65" s="77"/>
      <c r="B65" s="97" t="s">
        <v>145</v>
      </c>
      <c r="C65" s="98" t="n">
        <v>102</v>
      </c>
      <c r="D65" s="98" t="n">
        <v>1300</v>
      </c>
      <c r="E65" s="98" t="n">
        <f aca="false">ROUND(D65/C65,1)</f>
        <v>12.7</v>
      </c>
      <c r="F65" s="88" t="n">
        <f aca="false">0.25164*VLOOKUP('Champ - Echantillonnage'!$H$9,'Tubes optiques'!$H$2:$I$12,2,0)/C65</f>
        <v>1.35688235294118</v>
      </c>
    </row>
    <row r="66" customFormat="false" ht="12.75" hidden="false" customHeight="true" outlineLevel="0" collapsed="false">
      <c r="A66" s="77"/>
      <c r="B66" s="97" t="s">
        <v>146</v>
      </c>
      <c r="C66" s="98" t="n">
        <v>127</v>
      </c>
      <c r="D66" s="98" t="n">
        <v>1540</v>
      </c>
      <c r="E66" s="98" t="n">
        <f aca="false">ROUND(D66/C66,1)</f>
        <v>12.1</v>
      </c>
      <c r="F66" s="88" t="n">
        <f aca="false">0.25164*VLOOKUP('Champ - Echantillonnage'!$H$9,'Tubes optiques'!$H$2:$I$12,2,0)/C66</f>
        <v>1.08977952755906</v>
      </c>
    </row>
    <row r="67" customFormat="false" ht="12.75" hidden="false" customHeight="true" outlineLevel="0" collapsed="false">
      <c r="A67" s="77"/>
      <c r="B67" s="97" t="s">
        <v>147</v>
      </c>
      <c r="C67" s="98" t="n">
        <v>150</v>
      </c>
      <c r="D67" s="98" t="n">
        <v>1800</v>
      </c>
      <c r="E67" s="98" t="n">
        <f aca="false">ROUND(D67/C67,1)</f>
        <v>12</v>
      </c>
      <c r="F67" s="88" t="n">
        <f aca="false">0.25164*VLOOKUP('Champ - Echantillonnage'!$H$9,'Tubes optiques'!$H$2:$I$12,2,0)/C67</f>
        <v>0.92268</v>
      </c>
    </row>
    <row r="68" customFormat="false" ht="12.75" hidden="false" customHeight="true" outlineLevel="0" collapsed="false">
      <c r="A68" s="99" t="s">
        <v>86</v>
      </c>
      <c r="B68" s="97" t="s">
        <v>148</v>
      </c>
      <c r="C68" s="98" t="n">
        <v>72</v>
      </c>
      <c r="D68" s="98" t="n">
        <v>420</v>
      </c>
      <c r="E68" s="98" t="n">
        <f aca="false">ROUND(D68/C68,1)</f>
        <v>5.8</v>
      </c>
      <c r="F68" s="88" t="n">
        <f aca="false">0.25164*VLOOKUP('Champ - Echantillonnage'!$H$9,'Tubes optiques'!$H$2:$I$12,2,0)/C68</f>
        <v>1.92225</v>
      </c>
    </row>
    <row r="69" customFormat="false" ht="12.75" hidden="false" customHeight="true" outlineLevel="0" collapsed="false">
      <c r="A69" s="99"/>
      <c r="B69" s="97" t="s">
        <v>149</v>
      </c>
      <c r="C69" s="98" t="n">
        <v>80</v>
      </c>
      <c r="D69" s="98" t="n">
        <v>600</v>
      </c>
      <c r="E69" s="98" t="n">
        <f aca="false">ROUND(D69/C69,1)</f>
        <v>7.5</v>
      </c>
      <c r="F69" s="88" t="n">
        <f aca="false">0.25164*VLOOKUP('Champ - Echantillonnage'!$H$9,'Tubes optiques'!$H$2:$I$12,2,0)/C69</f>
        <v>1.730025</v>
      </c>
    </row>
    <row r="70" customFormat="false" ht="12.75" hidden="false" customHeight="true" outlineLevel="0" collapsed="false">
      <c r="A70" s="99"/>
      <c r="B70" s="97" t="s">
        <v>150</v>
      </c>
      <c r="C70" s="98" t="n">
        <v>120</v>
      </c>
      <c r="D70" s="98" t="n">
        <v>900</v>
      </c>
      <c r="E70" s="98" t="n">
        <f aca="false">ROUND(D70/C70,1)</f>
        <v>7.5</v>
      </c>
      <c r="F70" s="88" t="n">
        <f aca="false">0.25164*VLOOKUP('Champ - Echantillonnage'!$H$9,'Tubes optiques'!$H$2:$I$12,2,0)/C70</f>
        <v>1.15335</v>
      </c>
    </row>
    <row r="71" customFormat="false" ht="12.75" hidden="false" customHeight="true" outlineLevel="0" collapsed="false">
      <c r="A71" s="77" t="s">
        <v>89</v>
      </c>
      <c r="B71" s="100" t="s">
        <v>151</v>
      </c>
      <c r="C71" s="101" t="n">
        <v>60</v>
      </c>
      <c r="D71" s="101" t="n">
        <v>355</v>
      </c>
      <c r="E71" s="101" t="n">
        <f aca="false">ROUND(D71/C71,1)</f>
        <v>5.9</v>
      </c>
      <c r="F71" s="102" t="n">
        <f aca="false">0.25164*VLOOKUP('Champ - Echantillonnage'!$H$9,'Tubes optiques'!$H$2:$I$12,2,0)/C71</f>
        <v>2.3067</v>
      </c>
    </row>
    <row r="72" customFormat="false" ht="12.75" hidden="false" customHeight="true" outlineLevel="0" collapsed="false">
      <c r="A72" s="77"/>
      <c r="B72" s="100" t="s">
        <v>152</v>
      </c>
      <c r="C72" s="101" t="n">
        <v>90</v>
      </c>
      <c r="D72" s="101" t="n">
        <v>500</v>
      </c>
      <c r="E72" s="101" t="n">
        <f aca="false">ROUND(D72/C72,1)</f>
        <v>5.6</v>
      </c>
      <c r="F72" s="102" t="n">
        <f aca="false">0.25164*VLOOKUP('Champ - Echantillonnage'!$H$9,'Tubes optiques'!$H$2:$I$12,2,0)/C72</f>
        <v>1.5378</v>
      </c>
    </row>
    <row r="73" customFormat="false" ht="12.75" hidden="false" customHeight="true" outlineLevel="0" collapsed="false">
      <c r="A73" s="77"/>
      <c r="B73" s="100" t="s">
        <v>153</v>
      </c>
      <c r="C73" s="101" t="n">
        <v>102</v>
      </c>
      <c r="D73" s="101" t="n">
        <v>820</v>
      </c>
      <c r="E73" s="101" t="n">
        <f aca="false">ROUND(D73/C73,1)</f>
        <v>8</v>
      </c>
      <c r="F73" s="102" t="n">
        <f aca="false">0.25164*VLOOKUP('Champ - Echantillonnage'!$H$9,'Tubes optiques'!$H$2:$I$12,2,0)/C73</f>
        <v>1.35688235294118</v>
      </c>
    </row>
    <row r="74" customFormat="false" ht="12.75" hidden="false" customHeight="true" outlineLevel="0" collapsed="false">
      <c r="A74" s="77"/>
      <c r="B74" s="100" t="s">
        <v>154</v>
      </c>
      <c r="C74" s="101" t="n">
        <v>128</v>
      </c>
      <c r="D74" s="101" t="n">
        <v>1040</v>
      </c>
      <c r="E74" s="101" t="n">
        <f aca="false">ROUND(D74/C74,1)</f>
        <v>8.1</v>
      </c>
      <c r="F74" s="102" t="n">
        <f aca="false">0.25164*VLOOKUP('Champ - Echantillonnage'!$H$9,'Tubes optiques'!$H$2:$I$12,2,0)/C74</f>
        <v>1.081265625</v>
      </c>
    </row>
    <row r="75" customFormat="false" ht="12.75" hidden="false" customHeight="true" outlineLevel="0" collapsed="false">
      <c r="A75" s="77"/>
      <c r="B75" s="100" t="s">
        <v>155</v>
      </c>
      <c r="C75" s="101" t="n">
        <v>152</v>
      </c>
      <c r="D75" s="101" t="n">
        <v>1216</v>
      </c>
      <c r="E75" s="101" t="n">
        <f aca="false">ROUND(D75/C75,1)</f>
        <v>8</v>
      </c>
      <c r="F75" s="102" t="n">
        <f aca="false">0.25164*VLOOKUP('Champ - Echantillonnage'!$H$9,'Tubes optiques'!$H$2:$I$12,2,0)/C75</f>
        <v>0.91053947368421</v>
      </c>
    </row>
    <row r="76" customFormat="false" ht="12.75" hidden="false" customHeight="true" outlineLevel="0" collapsed="false">
      <c r="A76" s="77"/>
      <c r="B76" s="100" t="s">
        <v>156</v>
      </c>
      <c r="C76" s="101" t="n">
        <v>85</v>
      </c>
      <c r="D76" s="101" t="n">
        <v>450</v>
      </c>
      <c r="E76" s="101" t="n">
        <f aca="false">ROUND(D76/C76,1)</f>
        <v>5.3</v>
      </c>
      <c r="F76" s="102" t="n">
        <f aca="false">0.25164*VLOOKUP('Champ - Echantillonnage'!$H$9,'Tubes optiques'!$H$2:$I$12,2,0)/C76</f>
        <v>1.62825882352941</v>
      </c>
    </row>
    <row r="77" customFormat="false" ht="12.75" hidden="false" customHeight="true" outlineLevel="0" collapsed="false">
      <c r="A77" s="77"/>
      <c r="B77" s="100" t="s">
        <v>157</v>
      </c>
      <c r="C77" s="101" t="n">
        <v>106</v>
      </c>
      <c r="D77" s="101" t="n">
        <v>530</v>
      </c>
      <c r="E77" s="101" t="n">
        <f aca="false">ROUND(D77/C77,1)</f>
        <v>5</v>
      </c>
      <c r="F77" s="102" t="n">
        <f aca="false">0.25164*VLOOKUP('Champ - Echantillonnage'!$H$9,'Tubes optiques'!$H$2:$I$12,2,0)/C77</f>
        <v>1.30567924528302</v>
      </c>
    </row>
    <row r="78" customFormat="false" ht="12.75" hidden="false" customHeight="true" outlineLevel="0" collapsed="false">
      <c r="A78" s="77"/>
      <c r="B78" s="100" t="s">
        <v>158</v>
      </c>
      <c r="C78" s="101" t="n">
        <v>102</v>
      </c>
      <c r="D78" s="101" t="n">
        <v>816</v>
      </c>
      <c r="E78" s="101" t="n">
        <f aca="false">ROUND(D78/C78,1)</f>
        <v>8</v>
      </c>
      <c r="F78" s="102" t="n">
        <f aca="false">0.25164*VLOOKUP('Champ - Echantillonnage'!$H$9,'Tubes optiques'!$H$2:$I$12,2,0)/C78</f>
        <v>1.35688235294118</v>
      </c>
    </row>
    <row r="79" customFormat="false" ht="12.75" hidden="false" customHeight="true" outlineLevel="0" collapsed="false">
      <c r="A79" s="77"/>
      <c r="B79" s="100" t="s">
        <v>159</v>
      </c>
      <c r="C79" s="101" t="n">
        <v>120</v>
      </c>
      <c r="D79" s="101" t="n">
        <v>900</v>
      </c>
      <c r="E79" s="101" t="n">
        <f aca="false">ROUND(D79/C79,1)</f>
        <v>7.5</v>
      </c>
      <c r="F79" s="102" t="n">
        <f aca="false">0.25164*VLOOKUP('Champ - Echantillonnage'!$H$9,'Tubes optiques'!$H$2:$I$12,2,0)/C79</f>
        <v>1.15335</v>
      </c>
    </row>
    <row r="80" customFormat="false" ht="12.75" hidden="false" customHeight="true" outlineLevel="0" collapsed="false">
      <c r="A80" s="77"/>
      <c r="B80" s="100" t="s">
        <v>160</v>
      </c>
      <c r="C80" s="101" t="n">
        <v>130</v>
      </c>
      <c r="D80" s="101" t="n">
        <v>1000</v>
      </c>
      <c r="E80" s="101" t="n">
        <f aca="false">ROUND(D80/C80,1)</f>
        <v>7.7</v>
      </c>
      <c r="F80" s="102" t="n">
        <f aca="false">0.25164*VLOOKUP('Champ - Echantillonnage'!$H$9,'Tubes optiques'!$H$2:$I$12,2,0)/C80</f>
        <v>1.06463076923077</v>
      </c>
    </row>
    <row r="81" customFormat="false" ht="12.75" hidden="false" customHeight="true" outlineLevel="0" collapsed="false">
      <c r="A81" s="77"/>
      <c r="B81" s="100" t="s">
        <v>161</v>
      </c>
      <c r="C81" s="101" t="n">
        <v>150</v>
      </c>
      <c r="D81" s="101" t="n">
        <v>1100</v>
      </c>
      <c r="E81" s="101" t="n">
        <f aca="false">ROUND(D81/C81,1)</f>
        <v>7.3</v>
      </c>
      <c r="F81" s="102" t="n">
        <f aca="false">0.25164*VLOOKUP('Champ - Echantillonnage'!$H$9,'Tubes optiques'!$H$2:$I$12,2,0)/C81</f>
        <v>0.92268</v>
      </c>
    </row>
    <row r="82" customFormat="false" ht="12.75" hidden="false" customHeight="true" outlineLevel="0" collapsed="false">
      <c r="A82" s="77"/>
      <c r="B82" s="100" t="s">
        <v>162</v>
      </c>
      <c r="C82" s="101" t="n">
        <v>130</v>
      </c>
      <c r="D82" s="101" t="n">
        <v>430</v>
      </c>
      <c r="E82" s="101" t="n">
        <f aca="false">ROUND(D82/C82,1)</f>
        <v>3.3</v>
      </c>
      <c r="F82" s="102" t="n">
        <f aca="false">0.25164*VLOOKUP('Champ - Echantillonnage'!$H$9,'Tubes optiques'!$H$2:$I$12,2,0)/C82</f>
        <v>1.06463076923077</v>
      </c>
    </row>
    <row r="83" customFormat="false" ht="12.75" hidden="false" customHeight="true" outlineLevel="0" collapsed="false">
      <c r="A83" s="77"/>
      <c r="B83" s="100" t="s">
        <v>163</v>
      </c>
      <c r="C83" s="101" t="n">
        <v>160</v>
      </c>
      <c r="D83" s="101" t="n">
        <v>530</v>
      </c>
      <c r="E83" s="101" t="n">
        <f aca="false">ROUND(D83/C83,1)</f>
        <v>3.3</v>
      </c>
      <c r="F83" s="102" t="n">
        <f aca="false">0.25164*VLOOKUP('Champ - Echantillonnage'!$H$9,'Tubes optiques'!$H$2:$I$12,2,0)/C83</f>
        <v>0.8650125</v>
      </c>
    </row>
    <row r="84" customFormat="false" ht="12.75" hidden="false" customHeight="true" outlineLevel="0" collapsed="false">
      <c r="A84" s="77"/>
      <c r="B84" s="100" t="s">
        <v>164</v>
      </c>
      <c r="C84" s="101" t="n">
        <v>180</v>
      </c>
      <c r="D84" s="101" t="n">
        <v>500</v>
      </c>
      <c r="E84" s="101" t="n">
        <f aca="false">ROUND(D84/C84,1)</f>
        <v>2.8</v>
      </c>
      <c r="F84" s="102" t="n">
        <f aca="false">0.25164*VLOOKUP('Champ - Echantillonnage'!$H$9,'Tubes optiques'!$H$2:$I$12,2,0)/C84</f>
        <v>0.7689</v>
      </c>
    </row>
    <row r="85" customFormat="false" ht="12.75" hidden="false" customHeight="true" outlineLevel="0" collapsed="false">
      <c r="A85" s="77"/>
      <c r="B85" s="100" t="s">
        <v>165</v>
      </c>
      <c r="C85" s="101" t="n">
        <v>200</v>
      </c>
      <c r="D85" s="101" t="n">
        <v>800</v>
      </c>
      <c r="E85" s="101" t="n">
        <f aca="false">ROUND(D85/C85,1)</f>
        <v>4</v>
      </c>
      <c r="F85" s="102" t="n">
        <f aca="false">0.25164*VLOOKUP('Champ - Echantillonnage'!$H$9,'Tubes optiques'!$H$2:$I$12,2,0)/C85</f>
        <v>0.69201</v>
      </c>
    </row>
    <row r="86" customFormat="false" ht="12.75" hidden="false" customHeight="true" outlineLevel="0" collapsed="false">
      <c r="A86" s="77"/>
      <c r="B86" s="100" t="s">
        <v>166</v>
      </c>
      <c r="C86" s="101" t="n">
        <v>210</v>
      </c>
      <c r="D86" s="101" t="n">
        <v>628</v>
      </c>
      <c r="E86" s="101" t="n">
        <f aca="false">ROUND(D86/C86,1)</f>
        <v>3</v>
      </c>
      <c r="F86" s="102" t="n">
        <f aca="false">0.25164*VLOOKUP('Champ - Echantillonnage'!$H$9,'Tubes optiques'!$H$2:$I$12,2,0)/C86</f>
        <v>0.659057142857143</v>
      </c>
    </row>
    <row r="87" customFormat="false" ht="12.75" hidden="false" customHeight="true" outlineLevel="0" collapsed="false">
      <c r="A87" s="77"/>
      <c r="B87" s="100" t="s">
        <v>167</v>
      </c>
      <c r="C87" s="101" t="n">
        <v>250</v>
      </c>
      <c r="D87" s="101" t="n">
        <v>854</v>
      </c>
      <c r="E87" s="101" t="n">
        <f aca="false">ROUND(D87/C87,1)</f>
        <v>3.4</v>
      </c>
      <c r="F87" s="102" t="n">
        <f aca="false">0.25164*VLOOKUP('Champ - Echantillonnage'!$H$9,'Tubes optiques'!$H$2:$I$12,2,0)/C87</f>
        <v>0.553608</v>
      </c>
    </row>
    <row r="88" customFormat="false" ht="12.75" hidden="false" customHeight="true" outlineLevel="0" collapsed="false">
      <c r="A88" s="77"/>
      <c r="B88" s="100" t="s">
        <v>168</v>
      </c>
      <c r="C88" s="101" t="n">
        <v>300</v>
      </c>
      <c r="D88" s="101" t="n">
        <v>1130</v>
      </c>
      <c r="E88" s="101" t="n">
        <f aca="false">ROUND(D88/C88,1)</f>
        <v>3.8</v>
      </c>
      <c r="F88" s="102" t="n">
        <f aca="false">0.25164*VLOOKUP('Champ - Echantillonnage'!$H$9,'Tubes optiques'!$H$2:$I$12,2,0)/C88</f>
        <v>0.46134</v>
      </c>
    </row>
    <row r="89" customFormat="false" ht="12.75" hidden="false" customHeight="true" outlineLevel="0" collapsed="false">
      <c r="A89" s="77"/>
      <c r="B89" s="100" t="s">
        <v>169</v>
      </c>
      <c r="C89" s="101" t="n">
        <v>350</v>
      </c>
      <c r="D89" s="101" t="n">
        <v>1248</v>
      </c>
      <c r="E89" s="101" t="n">
        <f aca="false">ROUND(D89/C89,1)</f>
        <v>3.6</v>
      </c>
      <c r="F89" s="102" t="n">
        <f aca="false">0.25164*VLOOKUP('Champ - Echantillonnage'!$H$9,'Tubes optiques'!$H$2:$I$12,2,0)/C89</f>
        <v>0.395434285714286</v>
      </c>
    </row>
    <row r="90" customFormat="false" ht="12.75" hidden="false" customHeight="true" outlineLevel="0" collapsed="false">
      <c r="A90" s="77"/>
      <c r="B90" s="100" t="s">
        <v>170</v>
      </c>
      <c r="C90" s="101" t="n">
        <v>180</v>
      </c>
      <c r="D90" s="101" t="n">
        <v>2160</v>
      </c>
      <c r="E90" s="101" t="n">
        <f aca="false">ROUND(D90/C90,1)</f>
        <v>12</v>
      </c>
      <c r="F90" s="102" t="n">
        <f aca="false">0.25164*VLOOKUP('Champ - Echantillonnage'!$H$9,'Tubes optiques'!$H$2:$I$12,2,0)/C90</f>
        <v>0.7689</v>
      </c>
    </row>
    <row r="91" customFormat="false" ht="12.75" hidden="false" customHeight="true" outlineLevel="0" collapsed="false">
      <c r="A91" s="77"/>
      <c r="B91" s="100" t="s">
        <v>171</v>
      </c>
      <c r="C91" s="101" t="n">
        <v>210</v>
      </c>
      <c r="D91" s="101" t="n">
        <v>2415</v>
      </c>
      <c r="E91" s="101" t="n">
        <f aca="false">ROUND(D91/C91,1)</f>
        <v>11.5</v>
      </c>
      <c r="F91" s="102" t="n">
        <f aca="false">0.25164*VLOOKUP('Champ - Echantillonnage'!$H$9,'Tubes optiques'!$H$2:$I$12,2,0)/C91</f>
        <v>0.659057142857143</v>
      </c>
    </row>
    <row r="92" customFormat="false" ht="12.75" hidden="false" customHeight="true" outlineLevel="0" collapsed="false">
      <c r="A92" s="77"/>
      <c r="B92" s="100" t="s">
        <v>172</v>
      </c>
      <c r="C92" s="101" t="n">
        <v>250</v>
      </c>
      <c r="D92" s="101" t="n">
        <v>3000</v>
      </c>
      <c r="E92" s="101" t="n">
        <f aca="false">ROUND(D92/C92,1)</f>
        <v>12</v>
      </c>
      <c r="F92" s="102" t="n">
        <f aca="false">0.25164*VLOOKUP('Champ - Echantillonnage'!$H$9,'Tubes optiques'!$H$2:$I$12,2,0)/C92</f>
        <v>0.553608</v>
      </c>
    </row>
    <row r="93" customFormat="false" ht="12.75" hidden="false" customHeight="true" outlineLevel="0" collapsed="false">
      <c r="A93" s="77"/>
      <c r="B93" s="100" t="s">
        <v>173</v>
      </c>
      <c r="C93" s="101" t="n">
        <v>300</v>
      </c>
      <c r="D93" s="101" t="n">
        <v>3572</v>
      </c>
      <c r="E93" s="101" t="n">
        <f aca="false">ROUND(D93/C93,1)</f>
        <v>11.9</v>
      </c>
      <c r="F93" s="102" t="n">
        <f aca="false">0.25164*VLOOKUP('Champ - Echantillonnage'!$H$9,'Tubes optiques'!$H$2:$I$12,2,0)/C93</f>
        <v>0.46134</v>
      </c>
    </row>
    <row r="94" customFormat="false" ht="12.75" hidden="false" customHeight="true" outlineLevel="0" collapsed="false">
      <c r="A94" s="77"/>
      <c r="B94" s="100" t="s">
        <v>174</v>
      </c>
      <c r="C94" s="101" t="n">
        <v>250</v>
      </c>
      <c r="D94" s="101"/>
      <c r="E94" s="101" t="n">
        <f aca="false">ROUND(D94/C94,1)</f>
        <v>0</v>
      </c>
      <c r="F94" s="102" t="n">
        <f aca="false">0.25164*VLOOKUP('Champ - Echantillonnage'!$H$9,'Tubes optiques'!$H$2:$I$12,2,0)/C94</f>
        <v>0.553608</v>
      </c>
    </row>
    <row r="95" customFormat="false" ht="12.75" hidden="false" customHeight="true" outlineLevel="0" collapsed="false">
      <c r="A95" s="77"/>
      <c r="B95" s="100" t="s">
        <v>175</v>
      </c>
      <c r="C95" s="101" t="n">
        <v>212</v>
      </c>
      <c r="D95" s="101"/>
      <c r="E95" s="101" t="n">
        <f aca="false">ROUND(D95/C95,1)</f>
        <v>0</v>
      </c>
      <c r="F95" s="102" t="n">
        <f aca="false">0.25164*VLOOKUP('Champ - Echantillonnage'!$H$9,'Tubes optiques'!$H$2:$I$12,2,0)/C95</f>
        <v>0.652839622641509</v>
      </c>
    </row>
    <row r="96" customFormat="false" ht="12.75" hidden="false" customHeight="true" outlineLevel="0" collapsed="false">
      <c r="A96" s="77" t="s">
        <v>91</v>
      </c>
      <c r="B96" s="82" t="s">
        <v>176</v>
      </c>
      <c r="C96" s="83" t="n">
        <v>140</v>
      </c>
      <c r="D96" s="83" t="n">
        <v>980</v>
      </c>
      <c r="E96" s="83" t="n">
        <f aca="false">ROUND(D96/C96,1)</f>
        <v>7</v>
      </c>
      <c r="F96" s="84" t="n">
        <f aca="false">0.25164*VLOOKUP('Champ - Echantillonnage'!$H$9,'Tubes optiques'!$H$2:$I$12,2,0)/C96</f>
        <v>0.988585714285714</v>
      </c>
    </row>
    <row r="97" customFormat="false" ht="12.75" hidden="false" customHeight="true" outlineLevel="0" collapsed="false">
      <c r="A97" s="77"/>
      <c r="B97" s="82" t="s">
        <v>177</v>
      </c>
      <c r="C97" s="83" t="n">
        <v>160</v>
      </c>
      <c r="D97" s="83" t="n">
        <v>1280</v>
      </c>
      <c r="E97" s="83" t="n">
        <f aca="false">ROUND(D97/C97,1)</f>
        <v>8</v>
      </c>
      <c r="F97" s="84" t="n">
        <f aca="false">0.25164*VLOOKUP('Champ - Echantillonnage'!$H$9,'Tubes optiques'!$H$2:$I$12,2,0)/C97</f>
        <v>0.8650125</v>
      </c>
    </row>
    <row r="98" customFormat="false" ht="12.75" hidden="false" customHeight="true" outlineLevel="0" collapsed="false">
      <c r="A98" s="77"/>
      <c r="B98" s="82" t="s">
        <v>178</v>
      </c>
      <c r="C98" s="83" t="n">
        <v>160</v>
      </c>
      <c r="D98" s="83" t="n">
        <v>1120</v>
      </c>
      <c r="E98" s="83" t="n">
        <f aca="false">ROUND(D98/C98,1)</f>
        <v>7</v>
      </c>
      <c r="F98" s="84" t="n">
        <f aca="false">0.25164*VLOOKUP('Champ - Echantillonnage'!$H$9,'Tubes optiques'!$H$2:$I$12,2,0)/C98</f>
        <v>0.8650125</v>
      </c>
    </row>
    <row r="99" customFormat="false" ht="12.75" hidden="false" customHeight="true" outlineLevel="0" collapsed="false">
      <c r="A99" s="77"/>
      <c r="B99" s="82" t="s">
        <v>179</v>
      </c>
      <c r="C99" s="83" t="n">
        <v>180</v>
      </c>
      <c r="D99" s="83" t="n">
        <v>1260</v>
      </c>
      <c r="E99" s="83" t="n">
        <f aca="false">ROUND(D99/C99,1)</f>
        <v>7</v>
      </c>
      <c r="F99" s="84" t="n">
        <f aca="false">0.25164*VLOOKUP('Champ - Echantillonnage'!$H$9,'Tubes optiques'!$H$2:$I$12,2,0)/C99</f>
        <v>0.7689</v>
      </c>
    </row>
    <row r="100" customFormat="false" ht="12.75" hidden="false" customHeight="true" outlineLevel="0" collapsed="false">
      <c r="A100" s="77" t="s">
        <v>93</v>
      </c>
      <c r="B100" s="89" t="s">
        <v>180</v>
      </c>
      <c r="C100" s="90" t="n">
        <v>60</v>
      </c>
      <c r="D100" s="90" t="n">
        <v>360</v>
      </c>
      <c r="E100" s="90" t="n">
        <f aca="false">ROUND(D100/C100,1)</f>
        <v>6</v>
      </c>
      <c r="F100" s="91" t="n">
        <f aca="false">0.25164*VLOOKUP('Champ - Echantillonnage'!$H$9,'Tubes optiques'!$H$2:$I$12,2,0)/C100</f>
        <v>2.3067</v>
      </c>
    </row>
    <row r="101" customFormat="false" ht="12.75" hidden="false" customHeight="true" outlineLevel="0" collapsed="false">
      <c r="A101" s="77"/>
      <c r="B101" s="89" t="s">
        <v>181</v>
      </c>
      <c r="C101" s="90" t="n">
        <v>76</v>
      </c>
      <c r="D101" s="90" t="n">
        <v>480</v>
      </c>
      <c r="E101" s="90" t="n">
        <f aca="false">ROUND(D101/C101,1)</f>
        <v>6.3</v>
      </c>
      <c r="F101" s="91" t="n">
        <f aca="false">0.25164*VLOOKUP('Champ - Echantillonnage'!$H$9,'Tubes optiques'!$H$2:$I$12,2,0)/C101</f>
        <v>1.82107894736842</v>
      </c>
    </row>
    <row r="102" customFormat="false" ht="12.75" hidden="false" customHeight="true" outlineLevel="0" collapsed="false">
      <c r="A102" s="77"/>
      <c r="B102" s="89" t="s">
        <v>182</v>
      </c>
      <c r="C102" s="90" t="n">
        <v>85</v>
      </c>
      <c r="D102" s="90" t="n">
        <v>600</v>
      </c>
      <c r="E102" s="90" t="n">
        <f aca="false">ROUND(D102/C102,1)</f>
        <v>7.1</v>
      </c>
      <c r="F102" s="91" t="n">
        <f aca="false">0.25164*VLOOKUP('Champ - Echantillonnage'!$H$9,'Tubes optiques'!$H$2:$I$12,2,0)/C102</f>
        <v>1.62825882352941</v>
      </c>
    </row>
    <row r="103" customFormat="false" ht="12.75" hidden="false" customHeight="true" outlineLevel="0" collapsed="false">
      <c r="A103" s="77"/>
      <c r="B103" s="89" t="s">
        <v>183</v>
      </c>
      <c r="C103" s="90" t="n">
        <v>102</v>
      </c>
      <c r="D103" s="90" t="n">
        <v>880</v>
      </c>
      <c r="E103" s="90" t="n">
        <f aca="false">ROUND(D103/C103,1)</f>
        <v>8.6</v>
      </c>
      <c r="F103" s="91" t="n">
        <f aca="false">0.25164*VLOOKUP('Champ - Echantillonnage'!$H$9,'Tubes optiques'!$H$2:$I$12,2,0)/C103</f>
        <v>1.35688235294118</v>
      </c>
    </row>
    <row r="104" customFormat="false" ht="12.75" hidden="false" customHeight="true" outlineLevel="0" collapsed="false">
      <c r="A104" s="77"/>
      <c r="B104" s="89" t="s">
        <v>184</v>
      </c>
      <c r="C104" s="90" t="n">
        <v>101</v>
      </c>
      <c r="D104" s="90" t="n">
        <v>540</v>
      </c>
      <c r="E104" s="90" t="n">
        <f aca="false">ROUND(D104/C104,1)</f>
        <v>5.3</v>
      </c>
      <c r="F104" s="91" t="n">
        <f aca="false">0.25164*VLOOKUP('Champ - Echantillonnage'!$H$9,'Tubes optiques'!$H$2:$I$12,2,0)/C104</f>
        <v>1.37031683168317</v>
      </c>
    </row>
    <row r="105" customFormat="false" ht="12.75" hidden="false" customHeight="true" outlineLevel="0" collapsed="false">
      <c r="A105" s="77"/>
      <c r="B105" s="89" t="s">
        <v>185</v>
      </c>
      <c r="C105" s="90" t="n">
        <v>127</v>
      </c>
      <c r="D105" s="90" t="n">
        <v>660</v>
      </c>
      <c r="E105" s="90" t="n">
        <f aca="false">ROUND(D105/C105,1)</f>
        <v>5.2</v>
      </c>
      <c r="F105" s="91" t="n">
        <f aca="false">0.25164*VLOOKUP('Champ - Echantillonnage'!$H$9,'Tubes optiques'!$H$2:$I$12,2,0)/C105</f>
        <v>1.08977952755906</v>
      </c>
    </row>
    <row r="106" customFormat="false" ht="12.75" hidden="false" customHeight="true" outlineLevel="0" collapsed="false">
      <c r="A106" s="103" t="s">
        <v>95</v>
      </c>
      <c r="B106" s="95" t="s">
        <v>186</v>
      </c>
      <c r="C106" s="96" t="n">
        <v>80</v>
      </c>
      <c r="D106" s="96" t="n">
        <v>504</v>
      </c>
      <c r="E106" s="96" t="n">
        <f aca="false">ROUND(D106/C106,1)</f>
        <v>6.3</v>
      </c>
      <c r="F106" s="80" t="n">
        <f aca="false">0.25164*VLOOKUP('Champ - Echantillonnage'!$H$9,'Tubes optiques'!$H$2:$I$12,2,0)/C106</f>
        <v>1.730025</v>
      </c>
    </row>
    <row r="107" customFormat="false" ht="12.75" hidden="false" customHeight="true" outlineLevel="0" collapsed="false">
      <c r="A107" s="103"/>
      <c r="B107" s="95" t="s">
        <v>187</v>
      </c>
      <c r="C107" s="96" t="n">
        <v>92</v>
      </c>
      <c r="D107" s="96" t="n">
        <v>506</v>
      </c>
      <c r="E107" s="96" t="n">
        <f aca="false">ROUND(D107/C107,1)</f>
        <v>5.5</v>
      </c>
      <c r="F107" s="80" t="n">
        <f aca="false">0.25164*VLOOKUP('Champ - Echantillonnage'!$H$9,'Tubes optiques'!$H$2:$I$12,2,0)/C107</f>
        <v>1.50436956521739</v>
      </c>
    </row>
    <row r="108" customFormat="false" ht="12.75" hidden="false" customHeight="true" outlineLevel="0" collapsed="false">
      <c r="A108" s="103"/>
      <c r="B108" s="95" t="s">
        <v>188</v>
      </c>
      <c r="C108" s="96" t="n">
        <v>130</v>
      </c>
      <c r="D108" s="96" t="n">
        <v>910</v>
      </c>
      <c r="E108" s="96" t="n">
        <f aca="false">ROUND(D108/C108,1)</f>
        <v>7</v>
      </c>
      <c r="F108" s="80" t="n">
        <f aca="false">0.25164*VLOOKUP('Champ - Echantillonnage'!$H$9,'Tubes optiques'!$H$2:$I$12,2,0)/C108</f>
        <v>1.06463076923077</v>
      </c>
    </row>
    <row r="109" customFormat="false" ht="12.75" hidden="false" customHeight="true" outlineLevel="0" collapsed="false">
      <c r="A109" s="77" t="s">
        <v>98</v>
      </c>
      <c r="B109" s="82" t="s">
        <v>189</v>
      </c>
      <c r="C109" s="83" t="n">
        <v>80</v>
      </c>
      <c r="D109" s="83" t="n">
        <v>600</v>
      </c>
      <c r="E109" s="83" t="n">
        <f aca="false">ROUND(D109/C109,1)</f>
        <v>7.5</v>
      </c>
      <c r="F109" s="84" t="n">
        <f aca="false">0.25164*VLOOKUP('Champ - Echantillonnage'!$H$9,'Tubes optiques'!$H$2:$I$12,2,0)/C109</f>
        <v>1.730025</v>
      </c>
    </row>
    <row r="110" customFormat="false" ht="12.75" hidden="false" customHeight="true" outlineLevel="0" collapsed="false">
      <c r="A110" s="77"/>
      <c r="B110" s="82" t="s">
        <v>190</v>
      </c>
      <c r="C110" s="83" t="n">
        <v>81</v>
      </c>
      <c r="D110" s="83" t="n">
        <v>625</v>
      </c>
      <c r="E110" s="83" t="n">
        <f aca="false">ROUND(D110/C110,1)</f>
        <v>7.7</v>
      </c>
      <c r="F110" s="84" t="n">
        <f aca="false">0.25164*VLOOKUP('Champ - Echantillonnage'!$H$9,'Tubes optiques'!$H$2:$I$12,2,0)/C110</f>
        <v>1.70866666666667</v>
      </c>
    </row>
    <row r="111" customFormat="false" ht="12.75" hidden="false" customHeight="true" outlineLevel="0" collapsed="false">
      <c r="A111" s="77"/>
      <c r="B111" s="82" t="s">
        <v>191</v>
      </c>
      <c r="C111" s="83" t="n">
        <v>100</v>
      </c>
      <c r="D111" s="83" t="n">
        <v>880</v>
      </c>
      <c r="E111" s="83" t="n">
        <f aca="false">ROUND(D111/C111,1)</f>
        <v>8.8</v>
      </c>
      <c r="F111" s="84" t="n">
        <f aca="false">0.25164*VLOOKUP('Champ - Echantillonnage'!$H$9,'Tubes optiques'!$H$2:$I$12,2,0)/C111</f>
        <v>1.38402</v>
      </c>
    </row>
    <row r="112" customFormat="false" ht="12.75" hidden="false" customHeight="true" outlineLevel="0" collapsed="false">
      <c r="A112" s="77"/>
      <c r="B112" s="82" t="s">
        <v>192</v>
      </c>
      <c r="C112" s="83" t="n">
        <v>103</v>
      </c>
      <c r="D112" s="83" t="n">
        <v>795</v>
      </c>
      <c r="E112" s="83" t="n">
        <f aca="false">ROUND(D112/C112,1)</f>
        <v>7.7</v>
      </c>
      <c r="F112" s="84" t="n">
        <f aca="false">0.25164*VLOOKUP('Champ - Echantillonnage'!$H$9,'Tubes optiques'!$H$2:$I$12,2,0)/C112</f>
        <v>1.34370873786408</v>
      </c>
    </row>
    <row r="113" customFormat="false" ht="12.75" hidden="false" customHeight="true" outlineLevel="0" collapsed="false">
      <c r="A113" s="77"/>
      <c r="B113" s="82" t="s">
        <v>193</v>
      </c>
      <c r="C113" s="83" t="n">
        <v>115</v>
      </c>
      <c r="D113" s="83" t="n">
        <v>890</v>
      </c>
      <c r="E113" s="83" t="n">
        <f aca="false">ROUND(D113/C113,1)</f>
        <v>7.7</v>
      </c>
      <c r="F113" s="84" t="n">
        <f aca="false">0.25164*VLOOKUP('Champ - Echantillonnage'!$H$9,'Tubes optiques'!$H$2:$I$12,2,0)/C113</f>
        <v>1.20349565217391</v>
      </c>
    </row>
    <row r="114" customFormat="false" ht="12.75" hidden="false" customHeight="true" outlineLevel="0" collapsed="false">
      <c r="A114" s="77"/>
      <c r="B114" s="82" t="s">
        <v>194</v>
      </c>
      <c r="C114" s="83" t="n">
        <v>140</v>
      </c>
      <c r="D114" s="83" t="n">
        <v>800</v>
      </c>
      <c r="E114" s="83" t="n">
        <f aca="false">ROUND(D114/C114,1)</f>
        <v>5.7</v>
      </c>
      <c r="F114" s="84" t="n">
        <f aca="false">0.25164*VLOOKUP('Champ - Echantillonnage'!$H$9,'Tubes optiques'!$H$2:$I$12,2,0)/C114</f>
        <v>0.988585714285714</v>
      </c>
    </row>
    <row r="115" customFormat="false" ht="12.75" hidden="false" customHeight="true" outlineLevel="0" collapsed="false">
      <c r="A115" s="77"/>
      <c r="B115" s="82" t="s">
        <v>195</v>
      </c>
      <c r="C115" s="83" t="n">
        <v>130</v>
      </c>
      <c r="D115" s="83" t="n">
        <v>650</v>
      </c>
      <c r="E115" s="83" t="n">
        <f aca="false">ROUND(D115/C115,1)</f>
        <v>5</v>
      </c>
      <c r="F115" s="84" t="n">
        <f aca="false">0.25164*VLOOKUP('Champ - Echantillonnage'!$H$9,'Tubes optiques'!$H$2:$I$12,2,0)/C115</f>
        <v>1.06463076923077</v>
      </c>
    </row>
    <row r="116" customFormat="false" ht="12.75" hidden="false" customHeight="true" outlineLevel="0" collapsed="false">
      <c r="A116" s="77"/>
      <c r="B116" s="82" t="s">
        <v>196</v>
      </c>
      <c r="C116" s="83" t="n">
        <v>200</v>
      </c>
      <c r="D116" s="83" t="n">
        <v>800</v>
      </c>
      <c r="E116" s="83" t="n">
        <f aca="false">ROUND(D116/C116,1)</f>
        <v>4</v>
      </c>
      <c r="F116" s="84" t="n">
        <f aca="false">0.25164*VLOOKUP('Champ - Echantillonnage'!$H$9,'Tubes optiques'!$H$2:$I$12,2,0)/C116</f>
        <v>0.69201</v>
      </c>
    </row>
    <row r="117" customFormat="false" ht="12.75" hidden="false" customHeight="true" outlineLevel="0" collapsed="false">
      <c r="A117" s="77"/>
      <c r="B117" s="82" t="s">
        <v>197</v>
      </c>
      <c r="C117" s="83" t="n">
        <v>95</v>
      </c>
      <c r="D117" s="83" t="n">
        <v>1050</v>
      </c>
      <c r="E117" s="83" t="n">
        <f aca="false">ROUND(D117/C117,1)</f>
        <v>11.1</v>
      </c>
      <c r="F117" s="84" t="n">
        <f aca="false">0.25164*VLOOKUP('Champ - Echantillonnage'!$H$9,'Tubes optiques'!$H$2:$I$12,2,0)/C117</f>
        <v>1.45686315789474</v>
      </c>
    </row>
    <row r="118" customFormat="false" ht="12.75" hidden="false" customHeight="true" outlineLevel="0" collapsed="false">
      <c r="A118" s="77"/>
      <c r="B118" s="82" t="s">
        <v>198</v>
      </c>
      <c r="C118" s="83" t="n">
        <v>110</v>
      </c>
      <c r="D118" s="83" t="n">
        <v>1035</v>
      </c>
      <c r="E118" s="83" t="n">
        <f aca="false">ROUND(D118/C118,1)</f>
        <v>9.4</v>
      </c>
      <c r="F118" s="84" t="n">
        <f aca="false">0.25164*VLOOKUP('Champ - Echantillonnage'!$H$9,'Tubes optiques'!$H$2:$I$12,2,0)/C118</f>
        <v>1.2582</v>
      </c>
    </row>
    <row r="119" customFormat="false" ht="12.75" hidden="false" customHeight="true" outlineLevel="0" collapsed="false">
      <c r="A119" s="77"/>
      <c r="B119" s="82" t="s">
        <v>199</v>
      </c>
      <c r="C119" s="83" t="n">
        <v>200</v>
      </c>
      <c r="D119" s="83" t="n">
        <v>1950</v>
      </c>
      <c r="E119" s="83" t="n">
        <f aca="false">ROUND(D119/C119,1)</f>
        <v>9.8</v>
      </c>
      <c r="F119" s="84" t="n">
        <f aca="false">0.25164*VLOOKUP('Champ - Echantillonnage'!$H$9,'Tubes optiques'!$H$2:$I$12,2,0)/C119</f>
        <v>0.69201</v>
      </c>
    </row>
    <row r="120" customFormat="false" ht="12.75" hidden="false" customHeight="true" outlineLevel="0" collapsed="false">
      <c r="A120" s="77"/>
      <c r="B120" s="82" t="s">
        <v>200</v>
      </c>
      <c r="C120" s="83" t="n">
        <v>200</v>
      </c>
      <c r="D120" s="83" t="n">
        <v>1800</v>
      </c>
      <c r="E120" s="83" t="n">
        <f aca="false">ROUND(D120/C120,1)</f>
        <v>9</v>
      </c>
      <c r="F120" s="84" t="n">
        <f aca="false">0.25164*VLOOKUP('Champ - Echantillonnage'!$H$9,'Tubes optiques'!$H$2:$I$12,2,0)/C120</f>
        <v>0.69201</v>
      </c>
    </row>
    <row r="121" customFormat="false" ht="12.75" hidden="false" customHeight="true" outlineLevel="0" collapsed="false">
      <c r="A121" s="77"/>
      <c r="B121" s="82" t="s">
        <v>201</v>
      </c>
      <c r="C121" s="83" t="n">
        <v>260</v>
      </c>
      <c r="D121" s="83" t="n">
        <v>3000</v>
      </c>
      <c r="E121" s="83" t="n">
        <f aca="false">ROUND(D121/C121,1)</f>
        <v>11.5</v>
      </c>
      <c r="F121" s="84" t="n">
        <f aca="false">0.25164*VLOOKUP('Champ - Echantillonnage'!$H$9,'Tubes optiques'!$H$2:$I$12,2,0)/C121</f>
        <v>0.532315384615385</v>
      </c>
    </row>
    <row r="122" customFormat="false" ht="12.75" hidden="false" customHeight="true" outlineLevel="0" collapsed="false">
      <c r="A122" s="77"/>
      <c r="B122" s="82" t="s">
        <v>202</v>
      </c>
      <c r="C122" s="83" t="n">
        <v>330</v>
      </c>
      <c r="D122" s="83" t="n">
        <v>4320</v>
      </c>
      <c r="E122" s="83" t="n">
        <f aca="false">ROUND(D122/C122,1)</f>
        <v>13.1</v>
      </c>
      <c r="F122" s="84" t="n">
        <f aca="false">0.25164*VLOOKUP('Champ - Echantillonnage'!$H$9,'Tubes optiques'!$H$2:$I$12,2,0)/C122</f>
        <v>0.4194</v>
      </c>
    </row>
    <row r="123" customFormat="false" ht="12.75" hidden="false" customHeight="true" outlineLevel="0" collapsed="false">
      <c r="A123" s="104" t="s">
        <v>203</v>
      </c>
      <c r="B123" s="105" t="s">
        <v>204</v>
      </c>
      <c r="C123" s="98" t="n">
        <v>72</v>
      </c>
      <c r="D123" s="98" t="n">
        <v>432</v>
      </c>
      <c r="E123" s="98" t="n">
        <f aca="false">ROUND(D123/C123,1)</f>
        <v>6</v>
      </c>
      <c r="F123" s="88" t="n">
        <f aca="false">0.25164*VLOOKUP('Champ - Echantillonnage'!$H$9,'Tubes optiques'!$H$2:$I$12,2,0)/C123</f>
        <v>1.92225</v>
      </c>
    </row>
    <row r="124" customFormat="false" ht="12.75" hidden="false" customHeight="true" outlineLevel="0" collapsed="false">
      <c r="A124" s="104"/>
      <c r="B124" s="105" t="s">
        <v>205</v>
      </c>
      <c r="C124" s="98" t="n">
        <v>80</v>
      </c>
      <c r="D124" s="98" t="n">
        <v>545</v>
      </c>
      <c r="E124" s="98" t="n">
        <f aca="false">ROUND(D124/C124,1)</f>
        <v>6.8</v>
      </c>
      <c r="F124" s="88" t="n">
        <f aca="false">0.25164*VLOOKUP('Champ - Echantillonnage'!$H$9,'Tubes optiques'!$H$2:$I$12,2,0)/C124</f>
        <v>1.730025</v>
      </c>
    </row>
    <row r="125" customFormat="false" ht="12.75" hidden="false" customHeight="true" outlineLevel="0" collapsed="false">
      <c r="A125" s="104"/>
      <c r="B125" s="105" t="s">
        <v>206</v>
      </c>
      <c r="C125" s="98" t="n">
        <v>80</v>
      </c>
      <c r="D125" s="98" t="n">
        <v>480</v>
      </c>
      <c r="E125" s="98" t="n">
        <f aca="false">ROUND(D125/C125,1)</f>
        <v>6</v>
      </c>
      <c r="F125" s="88" t="n">
        <f aca="false">0.25164*VLOOKUP('Champ - Echantillonnage'!$H$9,'Tubes optiques'!$H$2:$I$12,2,0)/C125</f>
        <v>1.730025</v>
      </c>
    </row>
    <row r="126" customFormat="false" ht="12.75" hidden="false" customHeight="true" outlineLevel="0" collapsed="false">
      <c r="A126" s="104"/>
      <c r="B126" s="105" t="s">
        <v>207</v>
      </c>
      <c r="C126" s="98" t="n">
        <v>90</v>
      </c>
      <c r="D126" s="98" t="n">
        <v>558</v>
      </c>
      <c r="E126" s="98" t="n">
        <f aca="false">ROUND(D126/C126,1)</f>
        <v>6.2</v>
      </c>
      <c r="F126" s="88" t="n">
        <f aca="false">0.25164*VLOOKUP('Champ - Echantillonnage'!$H$9,'Tubes optiques'!$H$2:$I$12,2,0)/C126</f>
        <v>1.5378</v>
      </c>
    </row>
    <row r="127" customFormat="false" ht="12.75" hidden="false" customHeight="true" outlineLevel="0" collapsed="false">
      <c r="A127" s="104"/>
      <c r="B127" s="105" t="s">
        <v>208</v>
      </c>
      <c r="C127" s="98" t="n">
        <v>98</v>
      </c>
      <c r="D127" s="98" t="n">
        <v>618</v>
      </c>
      <c r="E127" s="98" t="n">
        <f aca="false">ROUND(D127/C127,1)</f>
        <v>6.3</v>
      </c>
      <c r="F127" s="88" t="n">
        <f aca="false">0.25164*VLOOKUP('Champ - Echantillonnage'!$H$9,'Tubes optiques'!$H$2:$I$12,2,0)/C127</f>
        <v>1.41226530612245</v>
      </c>
    </row>
    <row r="128" customFormat="false" ht="12.75" hidden="false" customHeight="true" outlineLevel="0" collapsed="false">
      <c r="A128" s="104"/>
      <c r="B128" s="105" t="s">
        <v>209</v>
      </c>
      <c r="C128" s="98" t="n">
        <v>110</v>
      </c>
      <c r="D128" s="98" t="n">
        <v>770</v>
      </c>
      <c r="E128" s="98" t="n">
        <f aca="false">ROUND(D128/C128,1)</f>
        <v>7</v>
      </c>
      <c r="F128" s="88" t="n">
        <f aca="false">0.25164*VLOOKUP('Champ - Echantillonnage'!$H$9,'Tubes optiques'!$H$2:$I$12,2,0)/C128</f>
        <v>1.2582</v>
      </c>
    </row>
    <row r="129" customFormat="false" ht="12.75" hidden="false" customHeight="true" outlineLevel="0" collapsed="false">
      <c r="A129" s="104"/>
      <c r="B129" s="105" t="s">
        <v>210</v>
      </c>
      <c r="C129" s="98" t="n">
        <v>120</v>
      </c>
      <c r="D129" s="98" t="n">
        <v>900</v>
      </c>
      <c r="E129" s="98" t="n">
        <f aca="false">ROUND(D129/C129,1)</f>
        <v>7.5</v>
      </c>
      <c r="F129" s="88" t="n">
        <f aca="false">0.25164*VLOOKUP('Champ - Echantillonnage'!$H$9,'Tubes optiques'!$H$2:$I$12,2,0)/C129</f>
        <v>1.15335</v>
      </c>
    </row>
    <row r="130" customFormat="false" ht="12.75" hidden="false" customHeight="true" outlineLevel="0" collapsed="false">
      <c r="A130" s="104"/>
      <c r="B130" s="105" t="s">
        <v>211</v>
      </c>
      <c r="C130" s="98" t="n">
        <v>132</v>
      </c>
      <c r="D130" s="98" t="n">
        <v>924</v>
      </c>
      <c r="E130" s="98" t="n">
        <f aca="false">ROUND(D130/C130,1)</f>
        <v>7</v>
      </c>
      <c r="F130" s="88" t="n">
        <f aca="false">0.25164*VLOOKUP('Champ - Echantillonnage'!$H$9,'Tubes optiques'!$H$2:$I$12,2,0)/C130</f>
        <v>1.0485</v>
      </c>
    </row>
    <row r="131" customFormat="false" ht="12.75" hidden="false" customHeight="true" outlineLevel="0" collapsed="false">
      <c r="A131" s="104" t="s">
        <v>74</v>
      </c>
      <c r="B131" s="106" t="s">
        <v>212</v>
      </c>
      <c r="C131" s="90" t="n">
        <v>75</v>
      </c>
      <c r="D131" s="90" t="n">
        <v>300</v>
      </c>
      <c r="E131" s="90" t="n">
        <v>4</v>
      </c>
      <c r="F131" s="91" t="n">
        <f aca="false">0.25164*VLOOKUP('Champ - Echantillonnage'!$H$9,'Tubes optiques'!$H$2:$I$12,2,0)/C131</f>
        <v>1.84536</v>
      </c>
    </row>
    <row r="132" customFormat="false" ht="12.75" hidden="false" customHeight="true" outlineLevel="0" collapsed="false">
      <c r="A132" s="104"/>
      <c r="B132" s="106" t="s">
        <v>213</v>
      </c>
      <c r="C132" s="107" t="n">
        <f aca="false">D132/E132</f>
        <v>71.4285714285714</v>
      </c>
      <c r="D132" s="90" t="n">
        <v>200</v>
      </c>
      <c r="E132" s="90" t="n">
        <v>2.8</v>
      </c>
      <c r="F132" s="91" t="n">
        <f aca="false">0.25164*VLOOKUP('Champ - Echantillonnage'!$H$9,'Tubes optiques'!$H$2:$I$12,2,0)/C132</f>
        <v>1.937628</v>
      </c>
    </row>
    <row r="133" customFormat="false" ht="12.75" hidden="false" customHeight="true" outlineLevel="0" collapsed="false">
      <c r="A133" s="104"/>
      <c r="B133" s="106" t="s">
        <v>214</v>
      </c>
      <c r="C133" s="107" t="n">
        <f aca="false">D133/E133</f>
        <v>35.7142857142857</v>
      </c>
      <c r="D133" s="90" t="n">
        <v>100</v>
      </c>
      <c r="E133" s="90" t="n">
        <v>2.8</v>
      </c>
      <c r="F133" s="91" t="n">
        <f aca="false">0.25164*VLOOKUP('Champ - Echantillonnage'!$H$9,'Tubes optiques'!$H$2:$I$12,2,0)/C133</f>
        <v>3.875256</v>
      </c>
    </row>
    <row r="134" customFormat="false" ht="12.75" hidden="false" customHeight="true" outlineLevel="0" collapsed="false">
      <c r="A134" s="104"/>
      <c r="B134" s="89" t="s">
        <v>215</v>
      </c>
      <c r="C134" s="107" t="n">
        <f aca="false">D134/E134</f>
        <v>8.57142857142857</v>
      </c>
      <c r="D134" s="90" t="n">
        <v>24</v>
      </c>
      <c r="E134" s="90" t="n">
        <v>2.8</v>
      </c>
      <c r="F134" s="91" t="n">
        <f aca="false">0.25164*VLOOKUP('Champ - Echantillonnage'!$H$9,'Tubes optiques'!$H$2:$I$12,2,0)/C134</f>
        <v>16.1469</v>
      </c>
    </row>
    <row r="135" customFormat="false" ht="12.75" hidden="false" customHeight="true" outlineLevel="0" collapsed="false">
      <c r="A135" s="104"/>
      <c r="B135" s="108" t="s">
        <v>216</v>
      </c>
      <c r="C135" s="109" t="n">
        <f aca="false">D135/E135</f>
        <v>25</v>
      </c>
      <c r="D135" s="110" t="n">
        <v>70</v>
      </c>
      <c r="E135" s="110" t="n">
        <v>2.8</v>
      </c>
      <c r="F135" s="111" t="n">
        <f aca="false">0.25164*VLOOKUP('Champ - Echantillonnage'!$H$9,'Tubes optiques'!$H$2:$I$12,2,0)/C135</f>
        <v>5.53608</v>
      </c>
    </row>
    <row r="136" customFormat="false" ht="12.75" hidden="false" customHeight="true" outlineLevel="0" collapsed="false">
      <c r="A136" s="112" t="s">
        <v>217</v>
      </c>
      <c r="B136" s="112" t="s">
        <v>218</v>
      </c>
      <c r="C136" s="113" t="n">
        <f aca="false">'Champ - Echantillonnage'!C25</f>
        <v>80</v>
      </c>
      <c r="D136" s="114" t="n">
        <f aca="false">'Champ - Echantillonnage'!D25</f>
        <v>600</v>
      </c>
      <c r="E136" s="112" t="n">
        <f aca="false">ROUND(D136/C136,1)</f>
        <v>7.5</v>
      </c>
      <c r="F136" s="115" t="n">
        <f aca="false">0.25164*VLOOKUP('Champ - Echantillonnage'!$H$9,'Tubes optiques'!$H$2:$I$12,2,0)/C136</f>
        <v>1.730025</v>
      </c>
    </row>
    <row r="1048569" customFormat="false" ht="12.8" hidden="false" customHeight="false" outlineLevel="0" collapsed="false"/>
    <row r="1048570" customFormat="false" ht="12.8" hidden="false" customHeight="false" outlineLevel="0" collapsed="false"/>
    <row r="1048571" customFormat="false" ht="12.8" hidden="false" customHeight="false" outlineLevel="0" collapsed="false"/>
    <row r="1048572" customFormat="false" ht="12.8" hidden="false" customHeight="false" outlineLevel="0" collapsed="false"/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16">
    <mergeCell ref="A2:A6"/>
    <mergeCell ref="A7:A15"/>
    <mergeCell ref="A16:A25"/>
    <mergeCell ref="A26:A30"/>
    <mergeCell ref="A31:A34"/>
    <mergeCell ref="A35:A42"/>
    <mergeCell ref="A43:A58"/>
    <mergeCell ref="A59:A67"/>
    <mergeCell ref="A68:A70"/>
    <mergeCell ref="A71:A95"/>
    <mergeCell ref="A96:A99"/>
    <mergeCell ref="A100:A105"/>
    <mergeCell ref="A106:A108"/>
    <mergeCell ref="A109:A122"/>
    <mergeCell ref="A123:A130"/>
    <mergeCell ref="A131:A135"/>
  </mergeCells>
  <printOptions headings="false" gridLines="false" gridLinesSet="true" horizontalCentered="false" verticalCentered="false"/>
  <pageMargins left="0.747916666666667" right="0.747916666666667" top="0.984027777777778" bottom="0.984027777777778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60"/>
  <sheetViews>
    <sheetView showFormulas="false" showGridLines="true" showRowColHeaders="true" showZeros="true" rightToLeft="false" tabSelected="false" showOutlineSymbols="true" defaultGridColor="true" view="normal" topLeftCell="N1" colorId="64" zoomScale="100" zoomScaleNormal="100" zoomScalePageLayoutView="100" workbookViewId="0">
      <pane xSplit="0" ySplit="514" topLeftCell="J1" activePane="bottomLeft" state="split"/>
      <selection pane="topLeft" activeCell="N1" activeCellId="0" sqref="N1"/>
      <selection pane="bottomLeft" activeCell="U13" activeCellId="0" sqref="U13"/>
    </sheetView>
  </sheetViews>
  <sheetFormatPr defaultRowHeight="12.75" zeroHeight="false" outlineLevelRow="0" outlineLevelCol="0"/>
  <cols>
    <col collapsed="false" customWidth="true" hidden="false" outlineLevel="0" max="1" min="1" style="116" width="19.83"/>
    <col collapsed="false" customWidth="true" hidden="false" outlineLevel="0" max="2" min="2" style="116" width="33.52"/>
    <col collapsed="false" customWidth="true" hidden="false" outlineLevel="0" max="3" min="3" style="117" width="18.12"/>
    <col collapsed="false" customWidth="true" hidden="false" outlineLevel="0" max="4" min="4" style="117" width="7.84"/>
    <col collapsed="false" customWidth="true" hidden="false" outlineLevel="0" max="6" min="5" style="116" width="15.68"/>
    <col collapsed="false" customWidth="true" hidden="false" outlineLevel="0" max="8" min="7" style="118" width="17.68"/>
    <col collapsed="false" customWidth="true" hidden="false" outlineLevel="0" max="9" min="9" style="119" width="17.12"/>
    <col collapsed="false" customWidth="true" hidden="false" outlineLevel="0" max="10" min="10" style="119" width="13.83"/>
    <col collapsed="false" customWidth="true" hidden="false" outlineLevel="0" max="11" min="11" style="117" width="16.83"/>
    <col collapsed="false" customWidth="true" hidden="false" outlineLevel="0" max="12" min="12" style="116" width="16.26"/>
    <col collapsed="false" customWidth="true" hidden="false" outlineLevel="0" max="13" min="13" style="117" width="20.26"/>
    <col collapsed="false" customWidth="true" hidden="false" outlineLevel="0" max="14" min="14" style="117" width="17.4"/>
    <col collapsed="false" customWidth="true" hidden="false" outlineLevel="0" max="15" min="15" style="116" width="26.25"/>
    <col collapsed="false" customWidth="true" hidden="false" outlineLevel="0" max="16" min="16" style="116" width="35.52"/>
    <col collapsed="false" customWidth="true" hidden="false" outlineLevel="0" max="17" min="17" style="118" width="21.11"/>
    <col collapsed="false" customWidth="true" hidden="false" outlineLevel="0" max="18" min="18" style="116" width="17.97"/>
    <col collapsed="false" customWidth="true" hidden="false" outlineLevel="0" max="257" min="19" style="116" width="11.4"/>
    <col collapsed="false" customWidth="true" hidden="false" outlineLevel="0" max="1025" min="258" style="120" width="11.4"/>
  </cols>
  <sheetData>
    <row r="1" customFormat="false" ht="12.75" hidden="false" customHeight="true" outlineLevel="0" collapsed="false">
      <c r="A1" s="121" t="s">
        <v>12</v>
      </c>
      <c r="B1" s="121" t="s">
        <v>13</v>
      </c>
      <c r="C1" s="122" t="s">
        <v>27</v>
      </c>
      <c r="D1" s="122" t="s">
        <v>29</v>
      </c>
      <c r="E1" s="121" t="s">
        <v>219</v>
      </c>
      <c r="F1" s="121" t="s">
        <v>220</v>
      </c>
      <c r="G1" s="121" t="s">
        <v>221</v>
      </c>
      <c r="H1" s="121" t="s">
        <v>222</v>
      </c>
      <c r="I1" s="123" t="s">
        <v>223</v>
      </c>
      <c r="J1" s="123" t="s">
        <v>38</v>
      </c>
      <c r="K1" s="122" t="s">
        <v>224</v>
      </c>
      <c r="L1" s="121" t="s">
        <v>225</v>
      </c>
      <c r="M1" s="122" t="s">
        <v>226</v>
      </c>
      <c r="N1" s="122" t="s">
        <v>43</v>
      </c>
      <c r="O1" s="121" t="s">
        <v>227</v>
      </c>
      <c r="P1" s="121" t="s">
        <v>228</v>
      </c>
      <c r="Q1" s="121" t="s">
        <v>50</v>
      </c>
      <c r="R1" s="121" t="s">
        <v>51</v>
      </c>
      <c r="T1" s="117" t="s">
        <v>68</v>
      </c>
    </row>
    <row r="2" customFormat="false" ht="12.75" hidden="false" customHeight="true" outlineLevel="0" collapsed="false">
      <c r="A2" s="124" t="s">
        <v>229</v>
      </c>
      <c r="B2" s="125" t="s">
        <v>230</v>
      </c>
      <c r="C2" s="126" t="s">
        <v>231</v>
      </c>
      <c r="D2" s="126" t="s">
        <v>232</v>
      </c>
      <c r="E2" s="127" t="n">
        <f aca="false">G2*I2*0.001</f>
        <v>8.9784</v>
      </c>
      <c r="F2" s="127" t="n">
        <f aca="false">H2*I2*0.001</f>
        <v>6.708</v>
      </c>
      <c r="G2" s="128" t="n">
        <v>1392</v>
      </c>
      <c r="H2" s="128" t="n">
        <v>1040</v>
      </c>
      <c r="I2" s="129" t="n">
        <v>6.45</v>
      </c>
      <c r="J2" s="130" t="n">
        <f aca="false">0.000001*G2*H2</f>
        <v>1.44768</v>
      </c>
      <c r="K2" s="126"/>
      <c r="L2" s="125"/>
      <c r="M2" s="126" t="n">
        <v>16</v>
      </c>
      <c r="N2" s="126" t="s">
        <v>233</v>
      </c>
      <c r="O2" s="125"/>
      <c r="P2" s="125"/>
      <c r="Q2" s="128"/>
      <c r="R2" s="125" t="s">
        <v>234</v>
      </c>
      <c r="T2" s="117" t="s">
        <v>229</v>
      </c>
    </row>
    <row r="3" customFormat="false" ht="12.75" hidden="false" customHeight="true" outlineLevel="0" collapsed="false">
      <c r="A3" s="124"/>
      <c r="B3" s="125" t="s">
        <v>235</v>
      </c>
      <c r="C3" s="126" t="s">
        <v>236</v>
      </c>
      <c r="D3" s="126" t="s">
        <v>232</v>
      </c>
      <c r="E3" s="127" t="n">
        <f aca="false">G3*I3*0.001</f>
        <v>7.128</v>
      </c>
      <c r="F3" s="127" t="n">
        <f aca="false">H3*I3*0.001</f>
        <v>5.368</v>
      </c>
      <c r="G3" s="128" t="n">
        <v>1620</v>
      </c>
      <c r="H3" s="128" t="n">
        <v>1220</v>
      </c>
      <c r="I3" s="129" t="n">
        <v>4.4</v>
      </c>
      <c r="J3" s="130" t="n">
        <f aca="false">0.000001*G3*H3</f>
        <v>1.9764</v>
      </c>
      <c r="K3" s="126"/>
      <c r="L3" s="125"/>
      <c r="M3" s="126" t="n">
        <v>16</v>
      </c>
      <c r="N3" s="126" t="s">
        <v>237</v>
      </c>
      <c r="O3" s="125"/>
      <c r="P3" s="125"/>
      <c r="Q3" s="128"/>
      <c r="R3" s="125" t="s">
        <v>234</v>
      </c>
      <c r="T3" s="117" t="s">
        <v>238</v>
      </c>
    </row>
    <row r="4" customFormat="false" ht="12.75" hidden="false" customHeight="true" outlineLevel="0" collapsed="false">
      <c r="A4" s="124"/>
      <c r="B4" s="125" t="s">
        <v>239</v>
      </c>
      <c r="C4" s="126" t="s">
        <v>240</v>
      </c>
      <c r="D4" s="126" t="s">
        <v>232</v>
      </c>
      <c r="E4" s="127" t="n">
        <f aca="false">G4*I4*0.001</f>
        <v>17.9604</v>
      </c>
      <c r="F4" s="127" t="n">
        <f aca="false">H4*I4*0.001</f>
        <v>13.5216</v>
      </c>
      <c r="G4" s="128" t="n">
        <v>3326</v>
      </c>
      <c r="H4" s="128" t="n">
        <v>2504</v>
      </c>
      <c r="I4" s="129" t="n">
        <v>5.4</v>
      </c>
      <c r="J4" s="130" t="n">
        <f aca="false">0.000001*G4*H4</f>
        <v>8.328304</v>
      </c>
      <c r="K4" s="126"/>
      <c r="L4" s="125"/>
      <c r="M4" s="126" t="n">
        <v>16</v>
      </c>
      <c r="N4" s="126" t="s">
        <v>241</v>
      </c>
      <c r="O4" s="125"/>
      <c r="P4" s="125"/>
      <c r="Q4" s="128"/>
      <c r="R4" s="125" t="s">
        <v>242</v>
      </c>
      <c r="T4" s="117" t="s">
        <v>243</v>
      </c>
    </row>
    <row r="5" customFormat="false" ht="12.75" hidden="false" customHeight="true" outlineLevel="0" collapsed="false">
      <c r="A5" s="124"/>
      <c r="B5" s="125" t="n">
        <v>4000</v>
      </c>
      <c r="C5" s="126" t="s">
        <v>244</v>
      </c>
      <c r="D5" s="126" t="s">
        <v>232</v>
      </c>
      <c r="E5" s="127" t="n">
        <f aca="false">G5*I5*0.001</f>
        <v>15.1552</v>
      </c>
      <c r="F5" s="127" t="n">
        <f aca="false">H5*I5*0.001</f>
        <v>15.1552</v>
      </c>
      <c r="G5" s="128" t="n">
        <v>2048</v>
      </c>
      <c r="H5" s="128" t="n">
        <v>2048</v>
      </c>
      <c r="I5" s="129" t="n">
        <v>7.4</v>
      </c>
      <c r="J5" s="130" t="n">
        <f aca="false">0.000001*G5*H5</f>
        <v>4.194304</v>
      </c>
      <c r="K5" s="126"/>
      <c r="L5" s="125"/>
      <c r="M5" s="126" t="n">
        <v>16</v>
      </c>
      <c r="N5" s="126" t="s">
        <v>245</v>
      </c>
      <c r="O5" s="125" t="s">
        <v>246</v>
      </c>
      <c r="P5" s="125"/>
      <c r="Q5" s="128" t="s">
        <v>247</v>
      </c>
      <c r="R5" s="125" t="s">
        <v>242</v>
      </c>
      <c r="T5" s="117" t="s">
        <v>248</v>
      </c>
    </row>
    <row r="6" customFormat="false" ht="12.75" hidden="false" customHeight="true" outlineLevel="0" collapsed="false">
      <c r="A6" s="124"/>
      <c r="B6" s="125" t="s">
        <v>249</v>
      </c>
      <c r="C6" s="126" t="s">
        <v>250</v>
      </c>
      <c r="D6" s="126" t="s">
        <v>232</v>
      </c>
      <c r="E6" s="127" t="n">
        <f aca="false">G6*I6*0.001</f>
        <v>12.48046</v>
      </c>
      <c r="F6" s="127" t="n">
        <f aca="false">H6*I6*0.001</f>
        <v>9.98346</v>
      </c>
      <c r="G6" s="128" t="n">
        <v>2749</v>
      </c>
      <c r="H6" s="128" t="n">
        <v>2199</v>
      </c>
      <c r="I6" s="129" t="n">
        <v>4.54</v>
      </c>
      <c r="J6" s="130" t="n">
        <f aca="false">0.000001*G6*H6</f>
        <v>6.045051</v>
      </c>
      <c r="K6" s="126"/>
      <c r="L6" s="125"/>
      <c r="M6" s="126" t="n">
        <v>16</v>
      </c>
      <c r="N6" s="126" t="s">
        <v>251</v>
      </c>
      <c r="O6" s="125" t="s">
        <v>252</v>
      </c>
      <c r="P6" s="125"/>
      <c r="Q6" s="128" t="n">
        <v>18000</v>
      </c>
      <c r="R6" s="125" t="s">
        <v>253</v>
      </c>
      <c r="T6" s="117" t="s">
        <v>254</v>
      </c>
    </row>
    <row r="7" customFormat="false" ht="12.75" hidden="false" customHeight="true" outlineLevel="0" collapsed="false">
      <c r="A7" s="124"/>
      <c r="B7" s="125" t="n">
        <v>11000</v>
      </c>
      <c r="C7" s="126" t="s">
        <v>255</v>
      </c>
      <c r="D7" s="126" t="s">
        <v>232</v>
      </c>
      <c r="E7" s="127" t="n">
        <f aca="false">G7*I7*0.001</f>
        <v>36.072</v>
      </c>
      <c r="F7" s="127" t="n">
        <f aca="false">H7*I7*0.001</f>
        <v>24.048</v>
      </c>
      <c r="G7" s="128" t="n">
        <v>4008</v>
      </c>
      <c r="H7" s="128" t="n">
        <v>2672</v>
      </c>
      <c r="I7" s="129" t="n">
        <v>9</v>
      </c>
      <c r="J7" s="130" t="n">
        <f aca="false">0.000001*G7*H7</f>
        <v>10.709376</v>
      </c>
      <c r="K7" s="126"/>
      <c r="L7" s="125"/>
      <c r="M7" s="126" t="n">
        <v>16</v>
      </c>
      <c r="N7" s="126" t="s">
        <v>256</v>
      </c>
      <c r="O7" s="125" t="s">
        <v>257</v>
      </c>
      <c r="P7" s="125"/>
      <c r="Q7" s="128" t="s">
        <v>258</v>
      </c>
      <c r="R7" s="125" t="s">
        <v>259</v>
      </c>
      <c r="T7" s="117" t="s">
        <v>24</v>
      </c>
    </row>
    <row r="8" customFormat="false" ht="12.75" hidden="false" customHeight="true" outlineLevel="0" collapsed="false">
      <c r="A8" s="124"/>
      <c r="B8" s="131" t="s">
        <v>260</v>
      </c>
      <c r="C8" s="132" t="s">
        <v>261</v>
      </c>
      <c r="D8" s="132" t="s">
        <v>232</v>
      </c>
      <c r="E8" s="133" t="n">
        <f aca="false">G8*I8*0.001</f>
        <v>4.8766</v>
      </c>
      <c r="F8" s="133" t="n">
        <f aca="false">H8*I8*0.001</f>
        <v>3.6556</v>
      </c>
      <c r="G8" s="134" t="n">
        <v>659</v>
      </c>
      <c r="H8" s="134" t="n">
        <v>494</v>
      </c>
      <c r="I8" s="135" t="n">
        <v>7.4</v>
      </c>
      <c r="J8" s="136" t="n">
        <f aca="false">0.000001*G8*H8</f>
        <v>0.325546</v>
      </c>
      <c r="K8" s="132"/>
      <c r="L8" s="131"/>
      <c r="M8" s="132" t="n">
        <v>16</v>
      </c>
      <c r="N8" s="132" t="s">
        <v>241</v>
      </c>
      <c r="O8" s="131"/>
      <c r="P8" s="131"/>
      <c r="Q8" s="134"/>
      <c r="R8" s="131" t="s">
        <v>262</v>
      </c>
      <c r="T8" s="117" t="s">
        <v>263</v>
      </c>
    </row>
    <row r="9" customFormat="false" ht="12.75" hidden="false" customHeight="true" outlineLevel="0" collapsed="false">
      <c r="A9" s="124" t="s">
        <v>238</v>
      </c>
      <c r="B9" s="137" t="s">
        <v>264</v>
      </c>
      <c r="C9" s="138" t="s">
        <v>265</v>
      </c>
      <c r="D9" s="138" t="s">
        <v>232</v>
      </c>
      <c r="E9" s="139" t="n">
        <f aca="false">G9*I9*0.001</f>
        <v>3.6904</v>
      </c>
      <c r="F9" s="139" t="n">
        <f aca="false">H9*I9*0.001</f>
        <v>2.7664</v>
      </c>
      <c r="G9" s="140" t="n">
        <v>659</v>
      </c>
      <c r="H9" s="140" t="n">
        <v>494</v>
      </c>
      <c r="I9" s="141" t="n">
        <v>5.6</v>
      </c>
      <c r="J9" s="142" t="n">
        <f aca="false">0.000001*G9*H9</f>
        <v>0.325546</v>
      </c>
      <c r="K9" s="138" t="s">
        <v>266</v>
      </c>
      <c r="L9" s="137" t="s">
        <v>267</v>
      </c>
      <c r="M9" s="138" t="s">
        <v>268</v>
      </c>
      <c r="N9" s="138"/>
      <c r="O9" s="137"/>
      <c r="P9" s="137"/>
      <c r="Q9" s="140"/>
      <c r="R9" s="137"/>
      <c r="T9" s="117" t="s">
        <v>269</v>
      </c>
    </row>
    <row r="10" customFormat="false" ht="12.75" hidden="false" customHeight="true" outlineLevel="0" collapsed="false">
      <c r="A10" s="124"/>
      <c r="B10" s="137" t="s">
        <v>270</v>
      </c>
      <c r="C10" s="138" t="s">
        <v>271</v>
      </c>
      <c r="D10" s="138" t="s">
        <v>232</v>
      </c>
      <c r="E10" s="139" t="n">
        <f aca="false">G10*I10*0.001</f>
        <v>4.86</v>
      </c>
      <c r="F10" s="139" t="n">
        <f aca="false">H10*I10*0.001</f>
        <v>3.6225</v>
      </c>
      <c r="G10" s="140" t="n">
        <v>1296</v>
      </c>
      <c r="H10" s="140" t="n">
        <v>966</v>
      </c>
      <c r="I10" s="141" t="n">
        <v>3.75</v>
      </c>
      <c r="J10" s="142" t="n">
        <f aca="false">0.000001*G10*H10</f>
        <v>1.251936</v>
      </c>
      <c r="K10" s="138" t="n">
        <v>32</v>
      </c>
      <c r="L10" s="137" t="s">
        <v>272</v>
      </c>
      <c r="M10" s="138" t="s">
        <v>273</v>
      </c>
      <c r="N10" s="138"/>
      <c r="O10" s="137"/>
      <c r="P10" s="137"/>
      <c r="Q10" s="140"/>
      <c r="R10" s="137"/>
      <c r="T10" s="117" t="s">
        <v>274</v>
      </c>
    </row>
    <row r="11" customFormat="false" ht="12.75" hidden="false" customHeight="true" outlineLevel="0" collapsed="false">
      <c r="A11" s="124"/>
      <c r="B11" s="137" t="s">
        <v>275</v>
      </c>
      <c r="C11" s="138" t="s">
        <v>276</v>
      </c>
      <c r="D11" s="138" t="s">
        <v>232</v>
      </c>
      <c r="E11" s="139" t="n">
        <f aca="false">G11*I11*0.001</f>
        <v>7.1632</v>
      </c>
      <c r="F11" s="139" t="n">
        <f aca="false">H11*I11*0.001</f>
        <v>5.4384</v>
      </c>
      <c r="G11" s="140" t="n">
        <v>1628</v>
      </c>
      <c r="H11" s="140" t="n">
        <v>1236</v>
      </c>
      <c r="I11" s="141" t="n">
        <v>4.4</v>
      </c>
      <c r="J11" s="142" t="n">
        <f aca="false">0.000001*G11*H11</f>
        <v>2.012208</v>
      </c>
      <c r="K11" s="138" t="n">
        <v>17</v>
      </c>
      <c r="L11" s="137" t="s">
        <v>277</v>
      </c>
      <c r="M11" s="138" t="s">
        <v>278</v>
      </c>
      <c r="N11" s="138"/>
      <c r="O11" s="137"/>
      <c r="P11" s="137"/>
      <c r="Q11" s="140"/>
      <c r="R11" s="137"/>
      <c r="T11" s="117" t="s">
        <v>279</v>
      </c>
    </row>
    <row r="12" customFormat="false" ht="12.75" hidden="false" customHeight="true" outlineLevel="0" collapsed="false">
      <c r="A12" s="124" t="s">
        <v>243</v>
      </c>
      <c r="B12" s="143" t="s">
        <v>280</v>
      </c>
      <c r="C12" s="144"/>
      <c r="D12" s="144" t="s">
        <v>281</v>
      </c>
      <c r="E12" s="145" t="n">
        <v>22.2</v>
      </c>
      <c r="F12" s="145" t="n">
        <v>14.8</v>
      </c>
      <c r="G12" s="146" t="n">
        <v>3888</v>
      </c>
      <c r="H12" s="146" t="n">
        <v>2592</v>
      </c>
      <c r="I12" s="147" t="n">
        <f aca="false">ROUND(E12/G12*1000,1)</f>
        <v>5.7</v>
      </c>
      <c r="J12" s="147" t="n">
        <f aca="false">0.000001*G12*H12</f>
        <v>10.077696</v>
      </c>
      <c r="K12" s="144"/>
      <c r="L12" s="143"/>
      <c r="M12" s="144"/>
      <c r="N12" s="144"/>
      <c r="O12" s="143"/>
      <c r="P12" s="143"/>
      <c r="Q12" s="146"/>
      <c r="R12" s="143"/>
      <c r="T12" s="117" t="s">
        <v>282</v>
      </c>
    </row>
    <row r="13" customFormat="false" ht="12.75" hidden="false" customHeight="true" outlineLevel="0" collapsed="false">
      <c r="A13" s="124"/>
      <c r="B13" s="125" t="s">
        <v>283</v>
      </c>
      <c r="C13" s="126"/>
      <c r="D13" s="126" t="s">
        <v>281</v>
      </c>
      <c r="E13" s="148" t="n">
        <v>22.2</v>
      </c>
      <c r="F13" s="148" t="n">
        <v>14.8</v>
      </c>
      <c r="G13" s="128" t="n">
        <v>4272</v>
      </c>
      <c r="H13" s="128" t="n">
        <v>2848</v>
      </c>
      <c r="I13" s="130" t="n">
        <f aca="false">ROUND(E13/G13*1000,1)</f>
        <v>5.2</v>
      </c>
      <c r="J13" s="130" t="n">
        <f aca="false">0.000001*G13*H13</f>
        <v>12.166656</v>
      </c>
      <c r="K13" s="126"/>
      <c r="L13" s="125"/>
      <c r="M13" s="126"/>
      <c r="N13" s="126"/>
      <c r="O13" s="125"/>
      <c r="P13" s="125"/>
      <c r="Q13" s="128"/>
      <c r="R13" s="125"/>
      <c r="T13" s="0"/>
    </row>
    <row r="14" customFormat="false" ht="12.75" hidden="false" customHeight="true" outlineLevel="0" collapsed="false">
      <c r="A14" s="124"/>
      <c r="B14" s="125" t="s">
        <v>284</v>
      </c>
      <c r="C14" s="126"/>
      <c r="D14" s="126" t="s">
        <v>281</v>
      </c>
      <c r="E14" s="148" t="n">
        <v>22.7</v>
      </c>
      <c r="F14" s="148" t="n">
        <v>15.1</v>
      </c>
      <c r="G14" s="128" t="n">
        <v>3072</v>
      </c>
      <c r="H14" s="128" t="n">
        <v>2048</v>
      </c>
      <c r="I14" s="130" t="n">
        <f aca="false">ROUND(E14/G14*1000,1)</f>
        <v>7.4</v>
      </c>
      <c r="J14" s="130" t="n">
        <f aca="false">0.000001*G14*H14</f>
        <v>6.291456</v>
      </c>
      <c r="K14" s="126"/>
      <c r="L14" s="125"/>
      <c r="M14" s="126"/>
      <c r="N14" s="126"/>
      <c r="O14" s="125"/>
      <c r="P14" s="125"/>
      <c r="Q14" s="128"/>
      <c r="R14" s="125"/>
    </row>
    <row r="15" customFormat="false" ht="12.75" hidden="false" customHeight="true" outlineLevel="0" collapsed="false">
      <c r="A15" s="124"/>
      <c r="B15" s="125" t="s">
        <v>285</v>
      </c>
      <c r="C15" s="126"/>
      <c r="D15" s="126" t="s">
        <v>281</v>
      </c>
      <c r="E15" s="148" t="n">
        <v>22.2</v>
      </c>
      <c r="F15" s="148" t="n">
        <v>14.8</v>
      </c>
      <c r="G15" s="128" t="n">
        <v>3456</v>
      </c>
      <c r="H15" s="128" t="n">
        <v>2304</v>
      </c>
      <c r="I15" s="130" t="n">
        <f aca="false">ROUND(E15/G15*1000,1)</f>
        <v>6.4</v>
      </c>
      <c r="J15" s="130" t="n">
        <f aca="false">0.000001*G15*H15</f>
        <v>7.962624</v>
      </c>
      <c r="K15" s="126"/>
      <c r="L15" s="125"/>
      <c r="M15" s="126"/>
      <c r="N15" s="126"/>
      <c r="O15" s="125"/>
      <c r="P15" s="125"/>
      <c r="Q15" s="128"/>
      <c r="R15" s="125"/>
    </row>
    <row r="16" customFormat="false" ht="12.75" hidden="false" customHeight="true" outlineLevel="0" collapsed="false">
      <c r="A16" s="124"/>
      <c r="B16" s="125" t="s">
        <v>286</v>
      </c>
      <c r="C16" s="126"/>
      <c r="D16" s="126" t="s">
        <v>281</v>
      </c>
      <c r="E16" s="148" t="n">
        <v>22.2</v>
      </c>
      <c r="F16" s="148" t="n">
        <v>14.8</v>
      </c>
      <c r="G16" s="128" t="n">
        <v>3888</v>
      </c>
      <c r="H16" s="128" t="n">
        <v>2592</v>
      </c>
      <c r="I16" s="130" t="n">
        <f aca="false">ROUND(E16/G16*1000,1)</f>
        <v>5.7</v>
      </c>
      <c r="J16" s="130" t="n">
        <f aca="false">0.000001*G16*H16</f>
        <v>10.077696</v>
      </c>
      <c r="K16" s="126"/>
      <c r="L16" s="125"/>
      <c r="M16" s="126"/>
      <c r="N16" s="126"/>
      <c r="O16" s="125"/>
      <c r="P16" s="125"/>
      <c r="Q16" s="128"/>
      <c r="R16" s="125"/>
    </row>
    <row r="17" customFormat="false" ht="12.75" hidden="false" customHeight="true" outlineLevel="0" collapsed="false">
      <c r="A17" s="124"/>
      <c r="B17" s="125" t="s">
        <v>287</v>
      </c>
      <c r="C17" s="126"/>
      <c r="D17" s="126" t="s">
        <v>281</v>
      </c>
      <c r="E17" s="148" t="n">
        <v>22.2</v>
      </c>
      <c r="F17" s="148" t="n">
        <v>14.8</v>
      </c>
      <c r="G17" s="128" t="n">
        <v>4272</v>
      </c>
      <c r="H17" s="128" t="n">
        <v>2848</v>
      </c>
      <c r="I17" s="130" t="n">
        <f aca="false">ROUND(E17/G17*1000,1)</f>
        <v>5.2</v>
      </c>
      <c r="J17" s="130" t="n">
        <f aca="false">0.000001*G17*H17</f>
        <v>12.166656</v>
      </c>
      <c r="K17" s="126"/>
      <c r="L17" s="125"/>
      <c r="M17" s="126"/>
      <c r="N17" s="126"/>
      <c r="O17" s="125"/>
      <c r="P17" s="125"/>
      <c r="Q17" s="128"/>
      <c r="R17" s="125"/>
    </row>
    <row r="18" customFormat="false" ht="12.75" hidden="false" customHeight="true" outlineLevel="0" collapsed="false">
      <c r="A18" s="124"/>
      <c r="B18" s="125" t="s">
        <v>288</v>
      </c>
      <c r="C18" s="126"/>
      <c r="D18" s="126" t="s">
        <v>281</v>
      </c>
      <c r="E18" s="148" t="n">
        <v>22.3</v>
      </c>
      <c r="F18" s="148" t="n">
        <v>14.9</v>
      </c>
      <c r="G18" s="128" t="n">
        <v>4752</v>
      </c>
      <c r="H18" s="128" t="n">
        <v>3168</v>
      </c>
      <c r="I18" s="130" t="n">
        <f aca="false">ROUND(E18/G18*1000,1)</f>
        <v>4.7</v>
      </c>
      <c r="J18" s="130" t="n">
        <f aca="false">0.000001*G18*H18</f>
        <v>15.054336</v>
      </c>
      <c r="K18" s="126"/>
      <c r="L18" s="125"/>
      <c r="M18" s="126"/>
      <c r="N18" s="126"/>
      <c r="O18" s="125"/>
      <c r="P18" s="125"/>
      <c r="Q18" s="128"/>
      <c r="R18" s="125"/>
    </row>
    <row r="19" customFormat="false" ht="12.75" hidden="false" customHeight="true" outlineLevel="0" collapsed="false">
      <c r="A19" s="124"/>
      <c r="B19" s="125" t="s">
        <v>289</v>
      </c>
      <c r="C19" s="126"/>
      <c r="D19" s="126" t="s">
        <v>281</v>
      </c>
      <c r="E19" s="148" t="n">
        <v>22.3</v>
      </c>
      <c r="F19" s="148" t="n">
        <v>14.9</v>
      </c>
      <c r="G19" s="128" t="n">
        <v>5184</v>
      </c>
      <c r="H19" s="128" t="n">
        <v>3456</v>
      </c>
      <c r="I19" s="130" t="n">
        <f aca="false">ROUND(E19/G19*1000,1)</f>
        <v>4.3</v>
      </c>
      <c r="J19" s="130" t="n">
        <f aca="false">0.000001*G19*H19</f>
        <v>17.915904</v>
      </c>
      <c r="K19" s="149"/>
      <c r="L19" s="125"/>
      <c r="M19" s="126"/>
      <c r="N19" s="126"/>
      <c r="O19" s="125"/>
      <c r="P19" s="125"/>
      <c r="Q19" s="128"/>
      <c r="R19" s="125"/>
    </row>
    <row r="20" customFormat="false" ht="12.75" hidden="false" customHeight="true" outlineLevel="0" collapsed="false">
      <c r="A20" s="124"/>
      <c r="B20" s="125" t="s">
        <v>290</v>
      </c>
      <c r="C20" s="126"/>
      <c r="D20" s="126" t="s">
        <v>281</v>
      </c>
      <c r="E20" s="148" t="n">
        <v>22.3</v>
      </c>
      <c r="F20" s="148" t="n">
        <v>14.9</v>
      </c>
      <c r="G20" s="128" t="n">
        <v>5184</v>
      </c>
      <c r="H20" s="128" t="n">
        <v>3456</v>
      </c>
      <c r="I20" s="130" t="n">
        <f aca="false">ROUND(E20/G20*1000,1)</f>
        <v>4.3</v>
      </c>
      <c r="J20" s="130" t="n">
        <f aca="false">0.000001*G20*H20</f>
        <v>17.915904</v>
      </c>
      <c r="K20" s="126"/>
      <c r="L20" s="125"/>
      <c r="M20" s="126"/>
      <c r="N20" s="126"/>
      <c r="O20" s="125"/>
      <c r="P20" s="125"/>
      <c r="Q20" s="128"/>
      <c r="R20" s="125"/>
    </row>
    <row r="21" customFormat="false" ht="12.75" hidden="false" customHeight="true" outlineLevel="0" collapsed="false">
      <c r="A21" s="124"/>
      <c r="B21" s="125" t="s">
        <v>291</v>
      </c>
      <c r="C21" s="126"/>
      <c r="D21" s="126" t="s">
        <v>281</v>
      </c>
      <c r="E21" s="148" t="n">
        <v>22.7</v>
      </c>
      <c r="F21" s="148" t="n">
        <v>15.1</v>
      </c>
      <c r="G21" s="128" t="n">
        <v>3072</v>
      </c>
      <c r="H21" s="128" t="n">
        <v>2048</v>
      </c>
      <c r="I21" s="130" t="n">
        <f aca="false">ROUND(E21/G21*1000,1)</f>
        <v>7.4</v>
      </c>
      <c r="J21" s="130" t="n">
        <f aca="false">0.000001*G21*H21</f>
        <v>6.291456</v>
      </c>
      <c r="K21" s="126"/>
      <c r="L21" s="125"/>
      <c r="M21" s="126"/>
      <c r="N21" s="126"/>
      <c r="O21" s="125"/>
      <c r="P21" s="125"/>
      <c r="Q21" s="128"/>
      <c r="R21" s="125"/>
    </row>
    <row r="22" customFormat="false" ht="12.75" hidden="false" customHeight="true" outlineLevel="0" collapsed="false">
      <c r="A22" s="124"/>
      <c r="B22" s="125" t="s">
        <v>292</v>
      </c>
      <c r="C22" s="126"/>
      <c r="D22" s="126" t="s">
        <v>281</v>
      </c>
      <c r="E22" s="148" t="n">
        <v>22.5</v>
      </c>
      <c r="F22" s="148" t="n">
        <v>15</v>
      </c>
      <c r="G22" s="128" t="n">
        <v>3504</v>
      </c>
      <c r="H22" s="128" t="n">
        <v>2336</v>
      </c>
      <c r="I22" s="130" t="n">
        <f aca="false">ROUND(E22/G22*1000,1)</f>
        <v>6.4</v>
      </c>
      <c r="J22" s="130" t="n">
        <f aca="false">0.000001*G22*H22</f>
        <v>8.185344</v>
      </c>
      <c r="K22" s="149"/>
      <c r="L22" s="125"/>
      <c r="M22" s="126"/>
      <c r="N22" s="126"/>
      <c r="O22" s="125"/>
      <c r="P22" s="125"/>
      <c r="Q22" s="128"/>
      <c r="R22" s="125"/>
    </row>
    <row r="23" customFormat="false" ht="12.75" hidden="false" customHeight="true" outlineLevel="0" collapsed="false">
      <c r="A23" s="124"/>
      <c r="B23" s="125" t="s">
        <v>293</v>
      </c>
      <c r="C23" s="126"/>
      <c r="D23" s="126" t="s">
        <v>281</v>
      </c>
      <c r="E23" s="148" t="n">
        <v>22.5</v>
      </c>
      <c r="F23" s="148" t="n">
        <v>15</v>
      </c>
      <c r="G23" s="128" t="n">
        <v>3504</v>
      </c>
      <c r="H23" s="128" t="n">
        <v>2336</v>
      </c>
      <c r="I23" s="130" t="n">
        <f aca="false">ROUND(E23/G23*1000,1)</f>
        <v>6.4</v>
      </c>
      <c r="J23" s="130" t="n">
        <f aca="false">0.000001*G23*H23</f>
        <v>8.185344</v>
      </c>
      <c r="K23" s="126"/>
      <c r="L23" s="125"/>
      <c r="M23" s="126"/>
      <c r="N23" s="126"/>
      <c r="O23" s="125"/>
      <c r="P23" s="125"/>
      <c r="Q23" s="128"/>
      <c r="R23" s="125"/>
    </row>
    <row r="24" customFormat="false" ht="12.75" hidden="false" customHeight="true" outlineLevel="0" collapsed="false">
      <c r="A24" s="124"/>
      <c r="B24" s="125" t="s">
        <v>294</v>
      </c>
      <c r="C24" s="126"/>
      <c r="D24" s="126" t="s">
        <v>281</v>
      </c>
      <c r="E24" s="148" t="n">
        <v>22.2</v>
      </c>
      <c r="F24" s="148" t="n">
        <v>14.8</v>
      </c>
      <c r="G24" s="128" t="n">
        <v>3888</v>
      </c>
      <c r="H24" s="128" t="n">
        <v>2592</v>
      </c>
      <c r="I24" s="130" t="n">
        <f aca="false">ROUND(E24/G24*1000,1)</f>
        <v>5.7</v>
      </c>
      <c r="J24" s="130" t="n">
        <f aca="false">0.000001*G24*H24</f>
        <v>10.077696</v>
      </c>
      <c r="K24" s="126"/>
      <c r="L24" s="125"/>
      <c r="M24" s="126"/>
      <c r="N24" s="126"/>
      <c r="O24" s="125"/>
      <c r="P24" s="125"/>
      <c r="Q24" s="128"/>
      <c r="R24" s="125"/>
    </row>
    <row r="25" customFormat="false" ht="12.75" hidden="false" customHeight="true" outlineLevel="0" collapsed="false">
      <c r="A25" s="124"/>
      <c r="B25" s="125" t="s">
        <v>295</v>
      </c>
      <c r="C25" s="126"/>
      <c r="D25" s="126" t="s">
        <v>281</v>
      </c>
      <c r="E25" s="148" t="n">
        <v>22.2</v>
      </c>
      <c r="F25" s="148" t="n">
        <v>14.8</v>
      </c>
      <c r="G25" s="128" t="n">
        <v>4752</v>
      </c>
      <c r="H25" s="128" t="n">
        <v>3168</v>
      </c>
      <c r="I25" s="130" t="n">
        <f aca="false">ROUND(E25/G25*1000,1)</f>
        <v>4.7</v>
      </c>
      <c r="J25" s="130" t="n">
        <f aca="false">0.000001*G25*H25</f>
        <v>15.054336</v>
      </c>
      <c r="K25" s="126"/>
      <c r="L25" s="125"/>
      <c r="M25" s="126"/>
      <c r="N25" s="126"/>
      <c r="O25" s="125"/>
      <c r="P25" s="125"/>
      <c r="Q25" s="128"/>
      <c r="R25" s="125"/>
    </row>
    <row r="26" customFormat="false" ht="12.75" hidden="false" customHeight="true" outlineLevel="0" collapsed="false">
      <c r="A26" s="124"/>
      <c r="B26" s="125" t="s">
        <v>296</v>
      </c>
      <c r="C26" s="126"/>
      <c r="D26" s="126" t="s">
        <v>281</v>
      </c>
      <c r="E26" s="148" t="n">
        <v>22.3</v>
      </c>
      <c r="F26" s="148" t="n">
        <v>14.9</v>
      </c>
      <c r="G26" s="128" t="n">
        <v>5184</v>
      </c>
      <c r="H26" s="128" t="n">
        <v>3456</v>
      </c>
      <c r="I26" s="130" t="n">
        <f aca="false">ROUND(E26/G26*1000,1)</f>
        <v>4.3</v>
      </c>
      <c r="J26" s="130" t="n">
        <f aca="false">0.000001*G26*H26</f>
        <v>17.915904</v>
      </c>
      <c r="K26" s="126"/>
      <c r="L26" s="125"/>
      <c r="M26" s="126"/>
      <c r="N26" s="126"/>
      <c r="O26" s="125"/>
      <c r="P26" s="125"/>
      <c r="Q26" s="128"/>
      <c r="R26" s="125"/>
    </row>
    <row r="27" customFormat="false" ht="12.75" hidden="false" customHeight="true" outlineLevel="0" collapsed="false">
      <c r="A27" s="124"/>
      <c r="B27" s="125" t="s">
        <v>297</v>
      </c>
      <c r="C27" s="126"/>
      <c r="D27" s="126" t="s">
        <v>281</v>
      </c>
      <c r="E27" s="148" t="n">
        <v>22.2</v>
      </c>
      <c r="F27" s="148" t="n">
        <v>14.8</v>
      </c>
      <c r="G27" s="128" t="n">
        <v>5184</v>
      </c>
      <c r="H27" s="128" t="n">
        <v>3456</v>
      </c>
      <c r="I27" s="130" t="n">
        <f aca="false">ROUND(E27/G27*1000,1)</f>
        <v>4.3</v>
      </c>
      <c r="J27" s="130" t="n">
        <f aca="false">0.000001*G27*H27</f>
        <v>17.915904</v>
      </c>
      <c r="K27" s="126"/>
      <c r="L27" s="125"/>
      <c r="M27" s="126"/>
      <c r="N27" s="126"/>
      <c r="O27" s="125"/>
      <c r="P27" s="125"/>
      <c r="Q27" s="128"/>
      <c r="R27" s="125"/>
    </row>
    <row r="28" customFormat="false" ht="12.75" hidden="false" customHeight="true" outlineLevel="0" collapsed="false">
      <c r="A28" s="124"/>
      <c r="B28" s="125" t="s">
        <v>298</v>
      </c>
      <c r="C28" s="126"/>
      <c r="D28" s="126" t="s">
        <v>281</v>
      </c>
      <c r="E28" s="148" t="n">
        <v>35.8</v>
      </c>
      <c r="F28" s="148" t="n">
        <v>23.9</v>
      </c>
      <c r="G28" s="128" t="n">
        <v>4368</v>
      </c>
      <c r="H28" s="128" t="n">
        <v>2912</v>
      </c>
      <c r="I28" s="130" t="n">
        <f aca="false">ROUND(E28/G28*1000,1)</f>
        <v>8.2</v>
      </c>
      <c r="J28" s="130" t="n">
        <f aca="false">0.000001*G28*H28</f>
        <v>12.719616</v>
      </c>
      <c r="K28" s="126"/>
      <c r="L28" s="125"/>
      <c r="M28" s="126"/>
      <c r="N28" s="126"/>
      <c r="O28" s="125"/>
      <c r="P28" s="125"/>
      <c r="Q28" s="128"/>
      <c r="R28" s="125"/>
    </row>
    <row r="29" customFormat="false" ht="12.75" hidden="false" customHeight="true" outlineLevel="0" collapsed="false">
      <c r="A29" s="124"/>
      <c r="B29" s="125" t="s">
        <v>299</v>
      </c>
      <c r="C29" s="126"/>
      <c r="D29" s="126" t="s">
        <v>281</v>
      </c>
      <c r="E29" s="148" t="n">
        <v>35.8</v>
      </c>
      <c r="F29" s="148" t="n">
        <v>23.9</v>
      </c>
      <c r="G29" s="128" t="n">
        <v>5616</v>
      </c>
      <c r="H29" s="128" t="n">
        <v>3744</v>
      </c>
      <c r="I29" s="130" t="n">
        <f aca="false">ROUND(E29/G29*1000,1)</f>
        <v>6.4</v>
      </c>
      <c r="J29" s="130" t="n">
        <f aca="false">0.000001*G29*H29</f>
        <v>21.026304</v>
      </c>
      <c r="K29" s="149"/>
      <c r="L29" s="125"/>
      <c r="M29" s="126"/>
      <c r="N29" s="126"/>
      <c r="O29" s="125"/>
      <c r="P29" s="125"/>
      <c r="Q29" s="128"/>
      <c r="R29" s="125"/>
    </row>
    <row r="30" customFormat="false" ht="12.75" hidden="false" customHeight="true" outlineLevel="0" collapsed="false">
      <c r="A30" s="124"/>
      <c r="B30" s="125" t="s">
        <v>300</v>
      </c>
      <c r="C30" s="126"/>
      <c r="D30" s="126" t="s">
        <v>281</v>
      </c>
      <c r="E30" s="148" t="n">
        <v>28.7</v>
      </c>
      <c r="F30" s="148" t="n">
        <v>19.1</v>
      </c>
      <c r="G30" s="128" t="n">
        <v>2464</v>
      </c>
      <c r="H30" s="128" t="n">
        <v>1648</v>
      </c>
      <c r="I30" s="130" t="n">
        <f aca="false">ROUND(E30/G30*1000,1)</f>
        <v>11.6</v>
      </c>
      <c r="J30" s="130" t="n">
        <f aca="false">0.000001*G30*H30</f>
        <v>4.060672</v>
      </c>
      <c r="K30" s="126"/>
      <c r="L30" s="125"/>
      <c r="M30" s="126"/>
      <c r="N30" s="126"/>
      <c r="O30" s="125"/>
      <c r="P30" s="125"/>
      <c r="Q30" s="128"/>
      <c r="R30" s="125"/>
    </row>
    <row r="31" customFormat="false" ht="12.75" hidden="false" customHeight="true" outlineLevel="0" collapsed="false">
      <c r="A31" s="124"/>
      <c r="B31" s="125" t="s">
        <v>301</v>
      </c>
      <c r="C31" s="126"/>
      <c r="D31" s="126" t="s">
        <v>281</v>
      </c>
      <c r="E31" s="148" t="n">
        <v>28.7</v>
      </c>
      <c r="F31" s="148" t="n">
        <v>19.1</v>
      </c>
      <c r="G31" s="128" t="n">
        <v>3504</v>
      </c>
      <c r="H31" s="128" t="n">
        <v>2336</v>
      </c>
      <c r="I31" s="130" t="n">
        <f aca="false">ROUND(E31/G31*1000,1)</f>
        <v>8.2</v>
      </c>
      <c r="J31" s="130" t="n">
        <f aca="false">0.000001*G31*H31</f>
        <v>8.185344</v>
      </c>
      <c r="K31" s="149"/>
      <c r="L31" s="125"/>
      <c r="M31" s="126"/>
      <c r="N31" s="126"/>
      <c r="O31" s="125"/>
      <c r="P31" s="125"/>
      <c r="Q31" s="128"/>
      <c r="R31" s="125"/>
    </row>
    <row r="32" customFormat="false" ht="12.75" hidden="false" customHeight="true" outlineLevel="0" collapsed="false">
      <c r="A32" s="124"/>
      <c r="B32" s="125" t="s">
        <v>302</v>
      </c>
      <c r="C32" s="126"/>
      <c r="D32" s="126" t="s">
        <v>281</v>
      </c>
      <c r="E32" s="148" t="n">
        <v>28.1</v>
      </c>
      <c r="F32" s="148" t="n">
        <v>18.7</v>
      </c>
      <c r="G32" s="128" t="n">
        <v>3888</v>
      </c>
      <c r="H32" s="128" t="n">
        <v>2592</v>
      </c>
      <c r="I32" s="130" t="n">
        <f aca="false">ROUND(E32/G32*1000,1)</f>
        <v>7.2</v>
      </c>
      <c r="J32" s="130" t="n">
        <f aca="false">0.000001*G32*H32</f>
        <v>10.077696</v>
      </c>
      <c r="K32" s="149"/>
      <c r="L32" s="125"/>
      <c r="M32" s="126"/>
      <c r="N32" s="126"/>
      <c r="O32" s="125"/>
      <c r="P32" s="125"/>
      <c r="Q32" s="128"/>
      <c r="R32" s="125"/>
    </row>
    <row r="33" customFormat="false" ht="12.75" hidden="false" customHeight="true" outlineLevel="0" collapsed="false">
      <c r="A33" s="124"/>
      <c r="B33" s="125" t="s">
        <v>303</v>
      </c>
      <c r="C33" s="126"/>
      <c r="D33" s="126" t="s">
        <v>281</v>
      </c>
      <c r="E33" s="148" t="n">
        <v>27.9</v>
      </c>
      <c r="F33" s="148" t="n">
        <v>18.6</v>
      </c>
      <c r="G33" s="128" t="n">
        <v>4896</v>
      </c>
      <c r="H33" s="128" t="n">
        <v>3264</v>
      </c>
      <c r="I33" s="130" t="n">
        <f aca="false">ROUND(E33/G33*1000,1)</f>
        <v>5.7</v>
      </c>
      <c r="J33" s="130" t="n">
        <f aca="false">0.000001*G33*H33</f>
        <v>15.980544</v>
      </c>
      <c r="K33" s="149"/>
      <c r="L33" s="125"/>
      <c r="M33" s="126"/>
      <c r="N33" s="126"/>
      <c r="O33" s="125"/>
      <c r="P33" s="125"/>
      <c r="Q33" s="128"/>
      <c r="R33" s="125"/>
    </row>
    <row r="34" customFormat="false" ht="12.75" hidden="false" customHeight="true" outlineLevel="0" collapsed="false">
      <c r="A34" s="124"/>
      <c r="B34" s="125" t="s">
        <v>304</v>
      </c>
      <c r="C34" s="126"/>
      <c r="D34" s="126" t="s">
        <v>281</v>
      </c>
      <c r="E34" s="148" t="n">
        <v>35.8</v>
      </c>
      <c r="F34" s="148" t="n">
        <v>23.8</v>
      </c>
      <c r="G34" s="128" t="n">
        <v>4064</v>
      </c>
      <c r="H34" s="128" t="n">
        <v>2704</v>
      </c>
      <c r="I34" s="130" t="n">
        <f aca="false">ROUND(E34/G34*1000,1)</f>
        <v>8.8</v>
      </c>
      <c r="J34" s="130" t="n">
        <f aca="false">0.000001*G34*H34</f>
        <v>10.989056</v>
      </c>
      <c r="K34" s="149"/>
      <c r="L34" s="125"/>
      <c r="M34" s="126"/>
      <c r="N34" s="126"/>
      <c r="O34" s="125"/>
      <c r="P34" s="125"/>
      <c r="Q34" s="128"/>
      <c r="R34" s="125"/>
    </row>
    <row r="35" customFormat="false" ht="12.75" hidden="false" customHeight="true" outlineLevel="0" collapsed="false">
      <c r="A35" s="124"/>
      <c r="B35" s="125" t="s">
        <v>305</v>
      </c>
      <c r="C35" s="126"/>
      <c r="D35" s="126" t="s">
        <v>281</v>
      </c>
      <c r="E35" s="148" t="n">
        <v>36</v>
      </c>
      <c r="F35" s="148" t="n">
        <v>24</v>
      </c>
      <c r="G35" s="128" t="n">
        <v>4992</v>
      </c>
      <c r="H35" s="128" t="n">
        <v>3328</v>
      </c>
      <c r="I35" s="130" t="n">
        <f aca="false">ROUND(E35/G35*1000,1)</f>
        <v>7.2</v>
      </c>
      <c r="J35" s="130" t="n">
        <f aca="false">0.000001*G35*H35</f>
        <v>16.613376</v>
      </c>
      <c r="K35" s="149"/>
      <c r="L35" s="125"/>
      <c r="M35" s="126"/>
      <c r="N35" s="126"/>
      <c r="O35" s="125"/>
      <c r="P35" s="125"/>
      <c r="Q35" s="128"/>
      <c r="R35" s="125"/>
    </row>
    <row r="36" customFormat="false" ht="12.75" hidden="false" customHeight="true" outlineLevel="0" collapsed="false">
      <c r="A36" s="124"/>
      <c r="B36" s="131" t="s">
        <v>306</v>
      </c>
      <c r="C36" s="132"/>
      <c r="D36" s="132" t="s">
        <v>281</v>
      </c>
      <c r="E36" s="150" t="n">
        <v>36</v>
      </c>
      <c r="F36" s="150" t="n">
        <v>24</v>
      </c>
      <c r="G36" s="134" t="n">
        <v>5616</v>
      </c>
      <c r="H36" s="134" t="n">
        <v>3744</v>
      </c>
      <c r="I36" s="136" t="n">
        <f aca="false">ROUND(E36/G36*1000,1)</f>
        <v>6.4</v>
      </c>
      <c r="J36" s="136" t="n">
        <f aca="false">0.000001*G36*H36</f>
        <v>21.026304</v>
      </c>
      <c r="K36" s="151"/>
      <c r="L36" s="131"/>
      <c r="M36" s="132"/>
      <c r="N36" s="132"/>
      <c r="O36" s="131"/>
      <c r="P36" s="131"/>
      <c r="Q36" s="134"/>
      <c r="R36" s="131"/>
    </row>
    <row r="37" customFormat="false" ht="12.75" hidden="false" customHeight="true" outlineLevel="0" collapsed="false">
      <c r="A37" s="124" t="s">
        <v>248</v>
      </c>
      <c r="B37" s="137" t="s">
        <v>307</v>
      </c>
      <c r="C37" s="138" t="s">
        <v>261</v>
      </c>
      <c r="D37" s="138" t="s">
        <v>232</v>
      </c>
      <c r="E37" s="139" t="n">
        <f aca="false">G37*I37*0.001</f>
        <v>4.736</v>
      </c>
      <c r="F37" s="139" t="n">
        <f aca="false">H37*I37*0.001</f>
        <v>3.552</v>
      </c>
      <c r="G37" s="140" t="n">
        <v>640</v>
      </c>
      <c r="H37" s="140" t="n">
        <v>480</v>
      </c>
      <c r="I37" s="141" t="n">
        <v>7.4</v>
      </c>
      <c r="J37" s="142" t="n">
        <f aca="false">0.000001*G37*H37</f>
        <v>0.3072</v>
      </c>
      <c r="K37" s="152" t="n">
        <v>60</v>
      </c>
      <c r="L37" s="137"/>
      <c r="M37" s="138" t="s">
        <v>268</v>
      </c>
      <c r="N37" s="138"/>
      <c r="O37" s="137"/>
      <c r="P37" s="137"/>
      <c r="Q37" s="140"/>
      <c r="R37" s="137"/>
    </row>
    <row r="38" customFormat="false" ht="12.75" hidden="false" customHeight="true" outlineLevel="0" collapsed="false">
      <c r="A38" s="124"/>
      <c r="B38" s="137" t="s">
        <v>308</v>
      </c>
      <c r="C38" s="138" t="s">
        <v>309</v>
      </c>
      <c r="D38" s="138" t="s">
        <v>232</v>
      </c>
      <c r="E38" s="139" t="n">
        <f aca="false">G38*I38*0.001</f>
        <v>6.4728</v>
      </c>
      <c r="F38" s="139" t="n">
        <f aca="false">H38*I38*0.001</f>
        <v>4.836</v>
      </c>
      <c r="G38" s="140" t="n">
        <v>1392</v>
      </c>
      <c r="H38" s="140" t="n">
        <v>1040</v>
      </c>
      <c r="I38" s="141" t="n">
        <v>4.65</v>
      </c>
      <c r="J38" s="142" t="n">
        <f aca="false">0.000001*G38*H38</f>
        <v>1.44768</v>
      </c>
      <c r="K38" s="138" t="n">
        <v>15</v>
      </c>
      <c r="L38" s="137"/>
      <c r="M38" s="138" t="s">
        <v>268</v>
      </c>
      <c r="N38" s="138"/>
      <c r="O38" s="137"/>
      <c r="P38" s="137"/>
      <c r="Q38" s="140"/>
      <c r="R38" s="137"/>
    </row>
    <row r="39" customFormat="false" ht="12.75" hidden="false" customHeight="true" outlineLevel="0" collapsed="false">
      <c r="A39" s="124"/>
      <c r="B39" s="137" t="s">
        <v>310</v>
      </c>
      <c r="C39" s="138" t="s">
        <v>276</v>
      </c>
      <c r="D39" s="138" t="s">
        <v>232</v>
      </c>
      <c r="E39" s="139" t="n">
        <f aca="false">G39*I39*0.001</f>
        <v>7.1104</v>
      </c>
      <c r="F39" s="139" t="n">
        <f aca="false">H39*I39*0.001</f>
        <v>5.4208</v>
      </c>
      <c r="G39" s="140" t="n">
        <v>1616</v>
      </c>
      <c r="H39" s="140" t="n">
        <v>1232</v>
      </c>
      <c r="I39" s="141" t="n">
        <v>4.4</v>
      </c>
      <c r="J39" s="142" t="n">
        <f aca="false">0.000001*G39*H39</f>
        <v>1.990912</v>
      </c>
      <c r="K39" s="138" t="n">
        <v>12</v>
      </c>
      <c r="L39" s="137"/>
      <c r="M39" s="138" t="s">
        <v>268</v>
      </c>
      <c r="N39" s="138"/>
      <c r="O39" s="137"/>
      <c r="P39" s="137"/>
      <c r="Q39" s="140"/>
      <c r="R39" s="137"/>
    </row>
    <row r="40" customFormat="false" ht="12.75" hidden="false" customHeight="true" outlineLevel="0" collapsed="false">
      <c r="A40" s="124" t="s">
        <v>254</v>
      </c>
      <c r="B40" s="143" t="s">
        <v>311</v>
      </c>
      <c r="C40" s="144"/>
      <c r="D40" s="144" t="s">
        <v>232</v>
      </c>
      <c r="E40" s="145" t="n">
        <v>23.7</v>
      </c>
      <c r="F40" s="145" t="n">
        <v>15.6</v>
      </c>
      <c r="G40" s="146" t="n">
        <v>3008</v>
      </c>
      <c r="H40" s="146" t="n">
        <v>2000</v>
      </c>
      <c r="I40" s="147" t="n">
        <f aca="false">ROUND(E40/G40*1000,1)</f>
        <v>7.9</v>
      </c>
      <c r="J40" s="147" t="n">
        <f aca="false">0.000001*G40*H40</f>
        <v>6.016</v>
      </c>
      <c r="K40" s="144"/>
      <c r="L40" s="143"/>
      <c r="M40" s="144"/>
      <c r="N40" s="144"/>
      <c r="O40" s="143"/>
      <c r="P40" s="143"/>
      <c r="Q40" s="146"/>
      <c r="R40" s="143"/>
    </row>
    <row r="41" customFormat="false" ht="12.75" hidden="false" customHeight="true" outlineLevel="0" collapsed="false">
      <c r="A41" s="124"/>
      <c r="B41" s="125" t="s">
        <v>312</v>
      </c>
      <c r="C41" s="126"/>
      <c r="D41" s="126" t="s">
        <v>232</v>
      </c>
      <c r="E41" s="125" t="n">
        <v>23.7</v>
      </c>
      <c r="F41" s="148" t="n">
        <v>15.6</v>
      </c>
      <c r="G41" s="128" t="n">
        <v>3872</v>
      </c>
      <c r="H41" s="128" t="n">
        <v>2592</v>
      </c>
      <c r="I41" s="130" t="n">
        <f aca="false">ROUND(E41/G41*1000,1)</f>
        <v>6.1</v>
      </c>
      <c r="J41" s="130" t="n">
        <f aca="false">0.000001*G41*H41</f>
        <v>10.036224</v>
      </c>
      <c r="K41" s="126"/>
      <c r="L41" s="125"/>
      <c r="M41" s="126"/>
      <c r="N41" s="126"/>
      <c r="O41" s="125"/>
      <c r="P41" s="125"/>
      <c r="Q41" s="128"/>
      <c r="R41" s="125"/>
    </row>
    <row r="42" customFormat="false" ht="12.75" hidden="false" customHeight="true" outlineLevel="0" collapsed="false">
      <c r="A42" s="124"/>
      <c r="B42" s="125" t="s">
        <v>313</v>
      </c>
      <c r="C42" s="126"/>
      <c r="D42" s="126" t="s">
        <v>232</v>
      </c>
      <c r="E42" s="125" t="n">
        <v>23.6</v>
      </c>
      <c r="F42" s="148" t="n">
        <v>15.8</v>
      </c>
      <c r="G42" s="128" t="n">
        <v>3872</v>
      </c>
      <c r="H42" s="128" t="n">
        <v>2592</v>
      </c>
      <c r="I42" s="130" t="n">
        <f aca="false">ROUND(E42/G42*1000,1)</f>
        <v>6.1</v>
      </c>
      <c r="J42" s="130" t="n">
        <f aca="false">0.000001*G42*H42</f>
        <v>10.036224</v>
      </c>
      <c r="K42" s="126"/>
      <c r="L42" s="125"/>
      <c r="M42" s="126"/>
      <c r="N42" s="126"/>
      <c r="O42" s="125"/>
      <c r="P42" s="125"/>
      <c r="Q42" s="128"/>
      <c r="R42" s="125"/>
    </row>
    <row r="43" customFormat="false" ht="12.75" hidden="false" customHeight="true" outlineLevel="0" collapsed="false">
      <c r="A43" s="124"/>
      <c r="B43" s="125" t="s">
        <v>314</v>
      </c>
      <c r="C43" s="126"/>
      <c r="D43" s="126" t="s">
        <v>281</v>
      </c>
      <c r="E43" s="125" t="n">
        <v>23.1</v>
      </c>
      <c r="F43" s="148" t="n">
        <v>15.4</v>
      </c>
      <c r="G43" s="128" t="n">
        <v>4608</v>
      </c>
      <c r="H43" s="128" t="n">
        <v>3072</v>
      </c>
      <c r="I43" s="130" t="n">
        <f aca="false">ROUND(E43/G43*1000,1)</f>
        <v>5</v>
      </c>
      <c r="J43" s="130" t="n">
        <f aca="false">0.000001*G43*H43</f>
        <v>14.155776</v>
      </c>
      <c r="K43" s="126"/>
      <c r="L43" s="125"/>
      <c r="M43" s="126"/>
      <c r="N43" s="126"/>
      <c r="O43" s="125"/>
      <c r="P43" s="125"/>
      <c r="Q43" s="128"/>
      <c r="R43" s="125"/>
    </row>
    <row r="44" customFormat="false" ht="12.75" hidden="false" customHeight="true" outlineLevel="0" collapsed="false">
      <c r="A44" s="124"/>
      <c r="B44" s="125" t="s">
        <v>315</v>
      </c>
      <c r="C44" s="126"/>
      <c r="D44" s="126" t="s">
        <v>232</v>
      </c>
      <c r="E44" s="148" t="n">
        <v>23.7</v>
      </c>
      <c r="F44" s="148" t="n">
        <v>15.6</v>
      </c>
      <c r="G44" s="128" t="n">
        <v>3008</v>
      </c>
      <c r="H44" s="128" t="n">
        <v>2000</v>
      </c>
      <c r="I44" s="130" t="n">
        <f aca="false">ROUND(E44/G44*1000,1)</f>
        <v>7.9</v>
      </c>
      <c r="J44" s="130"/>
      <c r="K44" s="126"/>
      <c r="L44" s="125"/>
      <c r="M44" s="126"/>
      <c r="N44" s="126"/>
      <c r="O44" s="125"/>
      <c r="P44" s="125"/>
      <c r="Q44" s="128"/>
      <c r="R44" s="125"/>
    </row>
    <row r="45" customFormat="false" ht="12.75" hidden="false" customHeight="true" outlineLevel="0" collapsed="false">
      <c r="A45" s="124"/>
      <c r="B45" s="125" t="s">
        <v>316</v>
      </c>
      <c r="C45" s="126"/>
      <c r="D45" s="126" t="s">
        <v>232</v>
      </c>
      <c r="E45" s="148" t="n">
        <v>23.6</v>
      </c>
      <c r="F45" s="148" t="n">
        <v>15.8</v>
      </c>
      <c r="G45" s="128" t="n">
        <v>3872</v>
      </c>
      <c r="H45" s="128" t="n">
        <v>2592</v>
      </c>
      <c r="I45" s="130" t="n">
        <f aca="false">ROUND(E45/G45*1000,1)</f>
        <v>6.1</v>
      </c>
      <c r="J45" s="130"/>
      <c r="K45" s="126"/>
      <c r="L45" s="125"/>
      <c r="M45" s="126"/>
      <c r="N45" s="126"/>
      <c r="O45" s="125"/>
      <c r="P45" s="125"/>
      <c r="Q45" s="128"/>
      <c r="R45" s="125"/>
    </row>
    <row r="46" customFormat="false" ht="12.75" hidden="false" customHeight="true" outlineLevel="0" collapsed="false">
      <c r="A46" s="124"/>
      <c r="B46" s="125" t="s">
        <v>317</v>
      </c>
      <c r="C46" s="126"/>
      <c r="D46" s="126" t="s">
        <v>281</v>
      </c>
      <c r="E46" s="148" t="n">
        <v>23.6</v>
      </c>
      <c r="F46" s="148" t="n">
        <v>15.8</v>
      </c>
      <c r="G46" s="128" t="n">
        <v>4288</v>
      </c>
      <c r="H46" s="128" t="n">
        <v>2848</v>
      </c>
      <c r="I46" s="130" t="n">
        <f aca="false">ROUND(E46/G46*1000,1)</f>
        <v>5.5</v>
      </c>
      <c r="J46" s="130"/>
      <c r="K46" s="126"/>
      <c r="L46" s="125"/>
      <c r="M46" s="126"/>
      <c r="N46" s="126"/>
      <c r="O46" s="125"/>
      <c r="P46" s="125"/>
      <c r="Q46" s="128"/>
      <c r="R46" s="125"/>
    </row>
    <row r="47" customFormat="false" ht="12.75" hidden="false" customHeight="true" outlineLevel="0" collapsed="false">
      <c r="A47" s="124"/>
      <c r="B47" s="125" t="s">
        <v>318</v>
      </c>
      <c r="C47" s="126"/>
      <c r="D47" s="126" t="s">
        <v>281</v>
      </c>
      <c r="E47" s="148" t="n">
        <v>23.6</v>
      </c>
      <c r="F47" s="148" t="n">
        <v>15.6</v>
      </c>
      <c r="G47" s="128" t="n">
        <v>4928</v>
      </c>
      <c r="H47" s="128" t="n">
        <v>3264</v>
      </c>
      <c r="I47" s="130" t="n">
        <f aca="false">ROUND(E47/G47*1000,1)</f>
        <v>4.8</v>
      </c>
      <c r="J47" s="130"/>
      <c r="K47" s="126"/>
      <c r="L47" s="125"/>
      <c r="M47" s="126"/>
      <c r="N47" s="126"/>
      <c r="O47" s="125"/>
      <c r="P47" s="125"/>
      <c r="Q47" s="128"/>
      <c r="R47" s="125"/>
    </row>
    <row r="48" customFormat="false" ht="12.75" hidden="false" customHeight="true" outlineLevel="0" collapsed="false">
      <c r="A48" s="124"/>
      <c r="B48" s="125" t="s">
        <v>319</v>
      </c>
      <c r="C48" s="126"/>
      <c r="D48" s="126" t="s">
        <v>232</v>
      </c>
      <c r="E48" s="148" t="n">
        <v>23.7</v>
      </c>
      <c r="F48" s="148" t="n">
        <v>15.6</v>
      </c>
      <c r="G48" s="128" t="n">
        <v>3008</v>
      </c>
      <c r="H48" s="128" t="n">
        <v>2000</v>
      </c>
      <c r="I48" s="130" t="n">
        <f aca="false">ROUND(E48/G48*1000,1)</f>
        <v>7.9</v>
      </c>
      <c r="J48" s="130"/>
      <c r="K48" s="126"/>
      <c r="L48" s="125"/>
      <c r="M48" s="126"/>
      <c r="N48" s="126"/>
      <c r="O48" s="125"/>
      <c r="P48" s="125"/>
      <c r="Q48" s="128"/>
      <c r="R48" s="125"/>
    </row>
    <row r="49" customFormat="false" ht="12.75" hidden="false" customHeight="true" outlineLevel="0" collapsed="false">
      <c r="A49" s="124"/>
      <c r="B49" s="125" t="s">
        <v>320</v>
      </c>
      <c r="C49" s="126"/>
      <c r="D49" s="126" t="s">
        <v>232</v>
      </c>
      <c r="E49" s="148" t="n">
        <v>23.6</v>
      </c>
      <c r="F49" s="148" t="n">
        <v>15.8</v>
      </c>
      <c r="G49" s="128" t="n">
        <v>3872</v>
      </c>
      <c r="H49" s="128" t="n">
        <v>2592</v>
      </c>
      <c r="I49" s="130" t="n">
        <f aca="false">ROUND(E49/G49*1000,1)</f>
        <v>6.1</v>
      </c>
      <c r="J49" s="130"/>
      <c r="K49" s="126"/>
      <c r="L49" s="125"/>
      <c r="M49" s="126"/>
      <c r="N49" s="126"/>
      <c r="O49" s="125"/>
      <c r="P49" s="125"/>
      <c r="Q49" s="128"/>
      <c r="R49" s="125"/>
    </row>
    <row r="50" customFormat="false" ht="12.75" hidden="false" customHeight="true" outlineLevel="0" collapsed="false">
      <c r="A50" s="124"/>
      <c r="B50" s="125" t="s">
        <v>321</v>
      </c>
      <c r="C50" s="126"/>
      <c r="D50" s="126" t="s">
        <v>281</v>
      </c>
      <c r="E50" s="148" t="n">
        <v>23.6</v>
      </c>
      <c r="F50" s="148" t="n">
        <v>15.8</v>
      </c>
      <c r="G50" s="128" t="n">
        <v>4928</v>
      </c>
      <c r="H50" s="128" t="n">
        <v>3264</v>
      </c>
      <c r="I50" s="130" t="n">
        <f aca="false">ROUND(E50/G50*1000,1)</f>
        <v>4.8</v>
      </c>
      <c r="J50" s="130"/>
      <c r="K50" s="126"/>
      <c r="L50" s="125"/>
      <c r="M50" s="126"/>
      <c r="N50" s="126"/>
      <c r="O50" s="125"/>
      <c r="P50" s="125"/>
      <c r="Q50" s="128"/>
      <c r="R50" s="125"/>
    </row>
    <row r="51" customFormat="false" ht="12.75" hidden="false" customHeight="true" outlineLevel="0" collapsed="false">
      <c r="A51" s="124"/>
      <c r="B51" s="125" t="s">
        <v>322</v>
      </c>
      <c r="C51" s="126"/>
      <c r="D51" s="126" t="s">
        <v>281</v>
      </c>
      <c r="E51" s="148" t="n">
        <v>23.6</v>
      </c>
      <c r="F51" s="148" t="n">
        <v>15.6</v>
      </c>
      <c r="G51" s="128" t="n">
        <v>4928</v>
      </c>
      <c r="H51" s="128" t="n">
        <v>3264</v>
      </c>
      <c r="I51" s="130" t="n">
        <f aca="false">ROUND(E51/G51*1000,1)</f>
        <v>4.8</v>
      </c>
      <c r="J51" s="130"/>
      <c r="K51" s="126"/>
      <c r="L51" s="125"/>
      <c r="M51" s="126"/>
      <c r="N51" s="126"/>
      <c r="O51" s="125"/>
      <c r="P51" s="125"/>
      <c r="Q51" s="128"/>
      <c r="R51" s="125"/>
    </row>
    <row r="52" customFormat="false" ht="12.75" hidden="false" customHeight="true" outlineLevel="0" collapsed="false">
      <c r="A52" s="124"/>
      <c r="B52" s="125" t="s">
        <v>323</v>
      </c>
      <c r="C52" s="126"/>
      <c r="D52" s="126" t="s">
        <v>232</v>
      </c>
      <c r="E52" s="148" t="n">
        <v>23.7</v>
      </c>
      <c r="F52" s="148" t="n">
        <v>15.6</v>
      </c>
      <c r="G52" s="128" t="n">
        <v>3008</v>
      </c>
      <c r="H52" s="128" t="n">
        <v>2000</v>
      </c>
      <c r="I52" s="130" t="n">
        <f aca="false">ROUND(E52/G52*1000,1)</f>
        <v>7.9</v>
      </c>
      <c r="J52" s="130"/>
      <c r="K52" s="126"/>
      <c r="L52" s="125"/>
      <c r="M52" s="126"/>
      <c r="N52" s="126"/>
      <c r="O52" s="125"/>
      <c r="P52" s="125"/>
      <c r="Q52" s="128"/>
      <c r="R52" s="125"/>
    </row>
    <row r="53" customFormat="false" ht="12.75" hidden="false" customHeight="true" outlineLevel="0" collapsed="false">
      <c r="A53" s="124"/>
      <c r="B53" s="125" t="s">
        <v>324</v>
      </c>
      <c r="C53" s="126"/>
      <c r="D53" s="126" t="s">
        <v>232</v>
      </c>
      <c r="E53" s="148" t="n">
        <v>23.7</v>
      </c>
      <c r="F53" s="148" t="n">
        <v>15.6</v>
      </c>
      <c r="G53" s="128" t="n">
        <v>3872</v>
      </c>
      <c r="H53" s="128" t="n">
        <v>2592</v>
      </c>
      <c r="I53" s="130" t="n">
        <f aca="false">ROUND(E53/G53*1000,1)</f>
        <v>6.1</v>
      </c>
      <c r="J53" s="130"/>
      <c r="K53" s="126"/>
      <c r="L53" s="125"/>
      <c r="M53" s="126"/>
      <c r="N53" s="126"/>
      <c r="O53" s="125"/>
      <c r="P53" s="125"/>
      <c r="Q53" s="128"/>
      <c r="R53" s="125"/>
    </row>
    <row r="54" customFormat="false" ht="12.75" hidden="false" customHeight="true" outlineLevel="0" collapsed="false">
      <c r="A54" s="124"/>
      <c r="B54" s="125" t="s">
        <v>325</v>
      </c>
      <c r="C54" s="126"/>
      <c r="D54" s="126" t="s">
        <v>281</v>
      </c>
      <c r="E54" s="148" t="n">
        <v>23.6</v>
      </c>
      <c r="F54" s="148" t="n">
        <v>15.8</v>
      </c>
      <c r="G54" s="128" t="n">
        <v>4288</v>
      </c>
      <c r="H54" s="128" t="n">
        <v>2848</v>
      </c>
      <c r="I54" s="130" t="n">
        <f aca="false">ROUND(E54/G54*1000,1)</f>
        <v>5.5</v>
      </c>
      <c r="J54" s="130"/>
      <c r="K54" s="126"/>
      <c r="L54" s="125"/>
      <c r="M54" s="126"/>
      <c r="N54" s="126"/>
      <c r="O54" s="125"/>
      <c r="P54" s="125"/>
      <c r="Q54" s="128"/>
      <c r="R54" s="125"/>
    </row>
    <row r="55" customFormat="false" ht="12.75" hidden="false" customHeight="true" outlineLevel="0" collapsed="false">
      <c r="A55" s="124"/>
      <c r="B55" s="125" t="s">
        <v>326</v>
      </c>
      <c r="C55" s="126"/>
      <c r="D55" s="126" t="s">
        <v>281</v>
      </c>
      <c r="E55" s="148" t="n">
        <v>36</v>
      </c>
      <c r="F55" s="148" t="n">
        <v>23.9</v>
      </c>
      <c r="G55" s="128" t="n">
        <v>4256</v>
      </c>
      <c r="H55" s="128" t="n">
        <v>2832</v>
      </c>
      <c r="I55" s="130" t="n">
        <f aca="false">ROUND(E55/G55*1000,1)</f>
        <v>8.5</v>
      </c>
      <c r="J55" s="130"/>
      <c r="K55" s="126"/>
      <c r="L55" s="125"/>
      <c r="M55" s="126"/>
      <c r="N55" s="126"/>
      <c r="O55" s="125"/>
      <c r="P55" s="125"/>
      <c r="Q55" s="128"/>
      <c r="R55" s="125"/>
    </row>
    <row r="56" customFormat="false" ht="12.75" hidden="false" customHeight="true" outlineLevel="0" collapsed="false">
      <c r="A56" s="124"/>
      <c r="B56" s="125" t="s">
        <v>327</v>
      </c>
      <c r="C56" s="126"/>
      <c r="D56" s="126" t="s">
        <v>232</v>
      </c>
      <c r="E56" s="148" t="n">
        <v>23.7</v>
      </c>
      <c r="F56" s="148" t="n">
        <v>15.6</v>
      </c>
      <c r="G56" s="128" t="n">
        <v>2000</v>
      </c>
      <c r="H56" s="128" t="n">
        <v>1312</v>
      </c>
      <c r="I56" s="130" t="n">
        <f aca="false">ROUND(E56/G56*1000,1)</f>
        <v>11.9</v>
      </c>
      <c r="J56" s="130"/>
      <c r="K56" s="126"/>
      <c r="L56" s="125"/>
      <c r="M56" s="126"/>
      <c r="N56" s="126"/>
      <c r="O56" s="125"/>
      <c r="P56" s="125"/>
      <c r="Q56" s="128"/>
      <c r="R56" s="125"/>
    </row>
    <row r="57" customFormat="false" ht="12.75" hidden="false" customHeight="true" outlineLevel="0" collapsed="false">
      <c r="A57" s="124"/>
      <c r="B57" s="125" t="s">
        <v>328</v>
      </c>
      <c r="C57" s="126"/>
      <c r="D57" s="126" t="s">
        <v>329</v>
      </c>
      <c r="E57" s="148" t="n">
        <v>23.3</v>
      </c>
      <c r="F57" s="148" t="n">
        <v>15.5</v>
      </c>
      <c r="G57" s="128" t="n">
        <v>2464</v>
      </c>
      <c r="H57" s="128" t="n">
        <v>1632</v>
      </c>
      <c r="I57" s="130" t="n">
        <f aca="false">ROUND(E57/G57*1000,1)</f>
        <v>9.5</v>
      </c>
      <c r="J57" s="130"/>
      <c r="K57" s="126"/>
      <c r="L57" s="125"/>
      <c r="M57" s="126"/>
      <c r="N57" s="126"/>
      <c r="O57" s="125"/>
      <c r="P57" s="125"/>
      <c r="Q57" s="128"/>
      <c r="R57" s="125"/>
    </row>
    <row r="58" customFormat="false" ht="12.75" hidden="false" customHeight="true" outlineLevel="0" collapsed="false">
      <c r="A58" s="124"/>
      <c r="B58" s="125" t="s">
        <v>330</v>
      </c>
      <c r="C58" s="126"/>
      <c r="D58" s="126" t="s">
        <v>281</v>
      </c>
      <c r="E58" s="148" t="n">
        <v>36</v>
      </c>
      <c r="F58" s="148" t="n">
        <v>23.9</v>
      </c>
      <c r="G58" s="128" t="n">
        <v>4256</v>
      </c>
      <c r="H58" s="128" t="n">
        <v>2832</v>
      </c>
      <c r="I58" s="130" t="n">
        <f aca="false">ROUND(E58/G58*1000,1)</f>
        <v>8.5</v>
      </c>
      <c r="J58" s="130"/>
      <c r="K58" s="126"/>
      <c r="L58" s="125"/>
      <c r="M58" s="126"/>
      <c r="N58" s="126"/>
      <c r="O58" s="125"/>
      <c r="P58" s="125"/>
      <c r="Q58" s="128"/>
      <c r="R58" s="125"/>
    </row>
    <row r="59" customFormat="false" ht="12.75" hidden="false" customHeight="true" outlineLevel="0" collapsed="false">
      <c r="A59" s="124"/>
      <c r="B59" s="125" t="s">
        <v>331</v>
      </c>
      <c r="C59" s="126"/>
      <c r="D59" s="126" t="s">
        <v>232</v>
      </c>
      <c r="E59" s="148" t="n">
        <v>23.7</v>
      </c>
      <c r="F59" s="148" t="n">
        <v>15.6</v>
      </c>
      <c r="G59" s="128" t="n">
        <v>2000</v>
      </c>
      <c r="H59" s="128" t="n">
        <v>1312</v>
      </c>
      <c r="I59" s="130" t="n">
        <f aca="false">ROUND(E59/G59*1000,1)</f>
        <v>11.9</v>
      </c>
      <c r="J59" s="130"/>
      <c r="K59" s="126"/>
      <c r="L59" s="125"/>
      <c r="M59" s="126"/>
      <c r="N59" s="126"/>
      <c r="O59" s="125"/>
      <c r="P59" s="125"/>
      <c r="Q59" s="128"/>
      <c r="R59" s="125"/>
    </row>
    <row r="60" customFormat="false" ht="12.75" hidden="false" customHeight="true" outlineLevel="0" collapsed="false">
      <c r="A60" s="124"/>
      <c r="B60" s="125" t="s">
        <v>332</v>
      </c>
      <c r="C60" s="126"/>
      <c r="D60" s="126" t="s">
        <v>232</v>
      </c>
      <c r="E60" s="148" t="n">
        <v>23.7</v>
      </c>
      <c r="F60" s="148" t="n">
        <v>15.6</v>
      </c>
      <c r="G60" s="128" t="n">
        <v>3008</v>
      </c>
      <c r="H60" s="128" t="n">
        <v>1960</v>
      </c>
      <c r="I60" s="130" t="n">
        <f aca="false">ROUND(E60/G60*1000,1)</f>
        <v>7.9</v>
      </c>
      <c r="J60" s="130"/>
      <c r="K60" s="126"/>
      <c r="L60" s="125"/>
      <c r="M60" s="126"/>
      <c r="N60" s="126"/>
      <c r="O60" s="125"/>
      <c r="P60" s="125"/>
      <c r="Q60" s="128"/>
      <c r="R60" s="125"/>
    </row>
    <row r="61" customFormat="false" ht="12.75" hidden="false" customHeight="true" outlineLevel="0" collapsed="false">
      <c r="A61" s="124"/>
      <c r="B61" s="125" t="s">
        <v>333</v>
      </c>
      <c r="C61" s="126" t="s">
        <v>334</v>
      </c>
      <c r="D61" s="126" t="s">
        <v>281</v>
      </c>
      <c r="E61" s="148" t="n">
        <v>23.7</v>
      </c>
      <c r="F61" s="148" t="n">
        <v>15.7</v>
      </c>
      <c r="G61" s="128" t="n">
        <v>4288</v>
      </c>
      <c r="H61" s="128" t="n">
        <v>2848</v>
      </c>
      <c r="I61" s="130" t="n">
        <f aca="false">ROUND(E61/G61*1000,1)</f>
        <v>5.5</v>
      </c>
      <c r="J61" s="130"/>
      <c r="K61" s="126"/>
      <c r="L61" s="125"/>
      <c r="M61" s="126"/>
      <c r="N61" s="126"/>
      <c r="O61" s="125"/>
      <c r="P61" s="125"/>
      <c r="Q61" s="128"/>
      <c r="R61" s="125"/>
    </row>
    <row r="62" customFormat="false" ht="12.75" hidden="false" customHeight="true" outlineLevel="0" collapsed="false">
      <c r="A62" s="124"/>
      <c r="B62" s="131" t="s">
        <v>335</v>
      </c>
      <c r="C62" s="126"/>
      <c r="D62" s="126" t="s">
        <v>281</v>
      </c>
      <c r="E62" s="148" t="n">
        <v>35.9</v>
      </c>
      <c r="F62" s="148" t="n">
        <v>24</v>
      </c>
      <c r="G62" s="128" t="n">
        <v>6048</v>
      </c>
      <c r="H62" s="128" t="n">
        <v>4032</v>
      </c>
      <c r="I62" s="130" t="n">
        <f aca="false">ROUND(E62/G62*1000,1)</f>
        <v>5.9</v>
      </c>
      <c r="J62" s="130"/>
      <c r="K62" s="126"/>
      <c r="L62" s="125"/>
      <c r="M62" s="126"/>
      <c r="N62" s="126"/>
      <c r="O62" s="125"/>
      <c r="P62" s="125"/>
      <c r="Q62" s="128"/>
      <c r="R62" s="125"/>
    </row>
    <row r="63" customFormat="false" ht="12.75" hidden="false" customHeight="true" outlineLevel="0" collapsed="false">
      <c r="A63" s="124" t="s">
        <v>263</v>
      </c>
      <c r="B63" s="137" t="n">
        <v>583</v>
      </c>
      <c r="C63" s="153" t="s">
        <v>240</v>
      </c>
      <c r="D63" s="154" t="s">
        <v>232</v>
      </c>
      <c r="E63" s="155" t="n">
        <f aca="false">G63*I63*0.001</f>
        <v>17.9604</v>
      </c>
      <c r="F63" s="155" t="n">
        <f aca="false">H63*I63*0.001</f>
        <v>13.5216</v>
      </c>
      <c r="G63" s="156" t="n">
        <v>3326</v>
      </c>
      <c r="H63" s="156" t="n">
        <v>2504</v>
      </c>
      <c r="I63" s="157" t="n">
        <v>5.4</v>
      </c>
      <c r="J63" s="158" t="n">
        <f aca="false">0.000001*G63*H63</f>
        <v>8.328304</v>
      </c>
      <c r="K63" s="154"/>
      <c r="L63" s="159" t="s">
        <v>336</v>
      </c>
      <c r="M63" s="154" t="n">
        <v>16</v>
      </c>
      <c r="N63" s="154" t="s">
        <v>337</v>
      </c>
      <c r="O63" s="159" t="s">
        <v>338</v>
      </c>
      <c r="P63" s="159" t="s">
        <v>339</v>
      </c>
      <c r="Q63" s="156" t="s">
        <v>340</v>
      </c>
      <c r="R63" s="159" t="s">
        <v>341</v>
      </c>
    </row>
    <row r="64" customFormat="false" ht="12.75" hidden="false" customHeight="true" outlineLevel="0" collapsed="false">
      <c r="A64" s="124"/>
      <c r="B64" s="159" t="n">
        <v>540</v>
      </c>
      <c r="C64" s="138" t="s">
        <v>244</v>
      </c>
      <c r="D64" s="138" t="s">
        <v>232</v>
      </c>
      <c r="E64" s="139" t="n">
        <f aca="false">G64*I64*0.001</f>
        <v>15.1552</v>
      </c>
      <c r="F64" s="139" t="n">
        <f aca="false">H64*I64*0.001</f>
        <v>15.1552</v>
      </c>
      <c r="G64" s="140" t="n">
        <v>2048</v>
      </c>
      <c r="H64" s="140" t="n">
        <v>2048</v>
      </c>
      <c r="I64" s="141" t="n">
        <v>7.4</v>
      </c>
      <c r="J64" s="142" t="n">
        <f aca="false">0.000001*G64*H64</f>
        <v>4.194304</v>
      </c>
      <c r="K64" s="138"/>
      <c r="L64" s="137" t="s">
        <v>342</v>
      </c>
      <c r="M64" s="138" t="n">
        <v>16</v>
      </c>
      <c r="N64" s="138" t="s">
        <v>343</v>
      </c>
      <c r="O64" s="137" t="s">
        <v>344</v>
      </c>
      <c r="P64" s="137" t="s">
        <v>345</v>
      </c>
      <c r="Q64" s="140" t="s">
        <v>247</v>
      </c>
      <c r="R64" s="137" t="s">
        <v>341</v>
      </c>
    </row>
    <row r="65" customFormat="false" ht="12.75" hidden="false" customHeight="true" outlineLevel="0" collapsed="false">
      <c r="A65" s="124"/>
      <c r="B65" s="137" t="n">
        <v>532</v>
      </c>
      <c r="C65" s="138" t="s">
        <v>346</v>
      </c>
      <c r="D65" s="138" t="s">
        <v>232</v>
      </c>
      <c r="E65" s="139" t="n">
        <f aca="false">G65*I65*0.001</f>
        <v>14.8512</v>
      </c>
      <c r="F65" s="139" t="n">
        <f aca="false">H65*I65*0.001</f>
        <v>10.0096</v>
      </c>
      <c r="G65" s="140" t="n">
        <v>2184</v>
      </c>
      <c r="H65" s="140" t="n">
        <v>1472</v>
      </c>
      <c r="I65" s="141" t="n">
        <v>6.8</v>
      </c>
      <c r="J65" s="142" t="n">
        <f aca="false">0.000001*G65*H65</f>
        <v>3.214848</v>
      </c>
      <c r="K65" s="138"/>
      <c r="L65" s="137" t="s">
        <v>347</v>
      </c>
      <c r="M65" s="138" t="n">
        <v>16</v>
      </c>
      <c r="N65" s="138" t="s">
        <v>348</v>
      </c>
      <c r="O65" s="137" t="s">
        <v>349</v>
      </c>
      <c r="P65" s="137" t="s">
        <v>350</v>
      </c>
      <c r="Q65" s="140" t="s">
        <v>351</v>
      </c>
      <c r="R65" s="137" t="s">
        <v>341</v>
      </c>
    </row>
    <row r="66" customFormat="false" ht="12.75" hidden="false" customHeight="true" outlineLevel="0" collapsed="false">
      <c r="A66" s="124"/>
      <c r="B66" s="137" t="n">
        <v>520</v>
      </c>
      <c r="C66" s="138" t="s">
        <v>352</v>
      </c>
      <c r="D66" s="138" t="s">
        <v>232</v>
      </c>
      <c r="E66" s="139" t="n">
        <f aca="false">G66*I66*0.001</f>
        <v>11.84</v>
      </c>
      <c r="F66" s="139" t="n">
        <f aca="false">H66*I66*0.001</f>
        <v>8.88</v>
      </c>
      <c r="G66" s="140" t="n">
        <v>1600</v>
      </c>
      <c r="H66" s="140" t="n">
        <v>1200</v>
      </c>
      <c r="I66" s="141" t="n">
        <v>7.4</v>
      </c>
      <c r="J66" s="142" t="n">
        <f aca="false">0.000001*G66*H66</f>
        <v>1.92</v>
      </c>
      <c r="K66" s="138"/>
      <c r="L66" s="137" t="s">
        <v>342</v>
      </c>
      <c r="M66" s="138" t="n">
        <v>16</v>
      </c>
      <c r="N66" s="138" t="s">
        <v>343</v>
      </c>
      <c r="O66" s="137" t="s">
        <v>344</v>
      </c>
      <c r="P66" s="137" t="s">
        <v>353</v>
      </c>
      <c r="Q66" s="140" t="s">
        <v>354</v>
      </c>
      <c r="R66" s="137" t="s">
        <v>341</v>
      </c>
    </row>
    <row r="67" customFormat="false" ht="12.75" hidden="false" customHeight="true" outlineLevel="0" collapsed="false">
      <c r="A67" s="124"/>
      <c r="B67" s="137" t="n">
        <v>516</v>
      </c>
      <c r="C67" s="138" t="s">
        <v>355</v>
      </c>
      <c r="D67" s="138" t="s">
        <v>232</v>
      </c>
      <c r="E67" s="139" t="n">
        <f aca="false">G67*I67*0.001</f>
        <v>13.824</v>
      </c>
      <c r="F67" s="139" t="n">
        <f aca="false">H67*I67*0.001</f>
        <v>9.216</v>
      </c>
      <c r="G67" s="140" t="n">
        <v>1536</v>
      </c>
      <c r="H67" s="140" t="n">
        <v>1024</v>
      </c>
      <c r="I67" s="141" t="n">
        <v>9</v>
      </c>
      <c r="J67" s="142" t="n">
        <f aca="false">0.000001*G67*H67</f>
        <v>1.572864</v>
      </c>
      <c r="K67" s="138"/>
      <c r="L67" s="137" t="s">
        <v>356</v>
      </c>
      <c r="M67" s="138" t="n">
        <v>16</v>
      </c>
      <c r="N67" s="138" t="s">
        <v>357</v>
      </c>
      <c r="O67" s="137" t="s">
        <v>358</v>
      </c>
      <c r="P67" s="137" t="s">
        <v>359</v>
      </c>
      <c r="Q67" s="140" t="s">
        <v>360</v>
      </c>
      <c r="R67" s="137" t="s">
        <v>341</v>
      </c>
    </row>
    <row r="68" customFormat="false" ht="12.75" hidden="false" customHeight="true" outlineLevel="0" collapsed="false">
      <c r="A68" s="124"/>
      <c r="B68" s="160" t="n">
        <v>504</v>
      </c>
      <c r="C68" s="161" t="s">
        <v>361</v>
      </c>
      <c r="D68" s="161" t="s">
        <v>232</v>
      </c>
      <c r="E68" s="162" t="n">
        <f aca="false">G68*I68*0.001</f>
        <v>6.912</v>
      </c>
      <c r="F68" s="162" t="n">
        <f aca="false">H68*I68*0.001</f>
        <v>4.608</v>
      </c>
      <c r="G68" s="163" t="n">
        <v>768</v>
      </c>
      <c r="H68" s="163" t="n">
        <v>512</v>
      </c>
      <c r="I68" s="164" t="n">
        <v>9</v>
      </c>
      <c r="J68" s="165" t="n">
        <f aca="false">0.000001*G68*H68</f>
        <v>0.393216</v>
      </c>
      <c r="K68" s="161"/>
      <c r="L68" s="160" t="s">
        <v>356</v>
      </c>
      <c r="M68" s="161" t="n">
        <v>16</v>
      </c>
      <c r="N68" s="161" t="s">
        <v>357</v>
      </c>
      <c r="O68" s="160" t="s">
        <v>358</v>
      </c>
      <c r="P68" s="160" t="s">
        <v>362</v>
      </c>
      <c r="Q68" s="163" t="s">
        <v>360</v>
      </c>
      <c r="R68" s="160" t="s">
        <v>341</v>
      </c>
    </row>
    <row r="69" customFormat="false" ht="12.75" hidden="false" customHeight="true" outlineLevel="0" collapsed="false">
      <c r="A69" s="124" t="s">
        <v>269</v>
      </c>
      <c r="B69" s="125" t="s">
        <v>363</v>
      </c>
      <c r="C69" s="126" t="s">
        <v>364</v>
      </c>
      <c r="D69" s="126" t="s">
        <v>232</v>
      </c>
      <c r="E69" s="127" t="n">
        <f aca="false">G69*I69*0.001</f>
        <v>6.885</v>
      </c>
      <c r="F69" s="127" t="n">
        <f aca="false">H69*I69*0.001</f>
        <v>4.59</v>
      </c>
      <c r="G69" s="128" t="n">
        <v>765</v>
      </c>
      <c r="H69" s="128" t="n">
        <v>510</v>
      </c>
      <c r="I69" s="129" t="n">
        <v>9</v>
      </c>
      <c r="J69" s="130" t="n">
        <f aca="false">0.000001*G69*H69</f>
        <v>0.39015</v>
      </c>
      <c r="K69" s="126"/>
      <c r="L69" s="125"/>
      <c r="M69" s="126" t="n">
        <v>16</v>
      </c>
      <c r="N69" s="126" t="s">
        <v>365</v>
      </c>
      <c r="O69" s="125" t="s">
        <v>366</v>
      </c>
      <c r="P69" s="125" t="s">
        <v>367</v>
      </c>
      <c r="Q69" s="128"/>
      <c r="R69" s="125" t="s">
        <v>368</v>
      </c>
    </row>
    <row r="70" customFormat="false" ht="12.75" hidden="false" customHeight="true" outlineLevel="0" collapsed="false">
      <c r="A70" s="124"/>
      <c r="B70" s="125" t="s">
        <v>369</v>
      </c>
      <c r="C70" s="126" t="s">
        <v>364</v>
      </c>
      <c r="D70" s="126" t="s">
        <v>232</v>
      </c>
      <c r="E70" s="127" t="n">
        <f aca="false">G70*I70*0.001</f>
        <v>6.885</v>
      </c>
      <c r="F70" s="127" t="n">
        <f aca="false">H70*I70*0.001</f>
        <v>4.59</v>
      </c>
      <c r="G70" s="128" t="n">
        <v>765</v>
      </c>
      <c r="H70" s="128" t="n">
        <v>510</v>
      </c>
      <c r="I70" s="129" t="n">
        <v>9</v>
      </c>
      <c r="J70" s="130" t="n">
        <f aca="false">0.000001*G70*H70</f>
        <v>0.39015</v>
      </c>
      <c r="K70" s="126"/>
      <c r="L70" s="125"/>
      <c r="M70" s="126" t="n">
        <v>16</v>
      </c>
      <c r="N70" s="126" t="s">
        <v>370</v>
      </c>
      <c r="O70" s="125" t="s">
        <v>366</v>
      </c>
      <c r="P70" s="125" t="s">
        <v>371</v>
      </c>
      <c r="Q70" s="128"/>
      <c r="R70" s="125" t="s">
        <v>368</v>
      </c>
    </row>
    <row r="71" customFormat="false" ht="12.75" hidden="false" customHeight="true" outlineLevel="0" collapsed="false">
      <c r="A71" s="124"/>
      <c r="B71" s="125" t="s">
        <v>372</v>
      </c>
      <c r="C71" s="126" t="s">
        <v>373</v>
      </c>
      <c r="D71" s="126" t="s">
        <v>232</v>
      </c>
      <c r="E71" s="127" t="n">
        <f aca="false">G71*I71*0.001</f>
        <v>13.77</v>
      </c>
      <c r="F71" s="127" t="n">
        <f aca="false">H71*I71*0.001</f>
        <v>9.18</v>
      </c>
      <c r="G71" s="128" t="n">
        <v>1530</v>
      </c>
      <c r="H71" s="128" t="n">
        <v>1020</v>
      </c>
      <c r="I71" s="129" t="n">
        <v>9</v>
      </c>
      <c r="J71" s="130" t="n">
        <f aca="false">0.000001*G71*H71</f>
        <v>1.5606</v>
      </c>
      <c r="K71" s="126"/>
      <c r="L71" s="125"/>
      <c r="M71" s="126" t="n">
        <v>16</v>
      </c>
      <c r="N71" s="126" t="s">
        <v>357</v>
      </c>
      <c r="O71" s="125" t="s">
        <v>366</v>
      </c>
      <c r="P71" s="125" t="s">
        <v>374</v>
      </c>
      <c r="Q71" s="128"/>
      <c r="R71" s="125" t="s">
        <v>368</v>
      </c>
    </row>
    <row r="72" customFormat="false" ht="12.75" hidden="false" customHeight="true" outlineLevel="0" collapsed="false">
      <c r="A72" s="124"/>
      <c r="B72" s="125" t="s">
        <v>375</v>
      </c>
      <c r="C72" s="126" t="s">
        <v>376</v>
      </c>
      <c r="D72" s="126" t="s">
        <v>232</v>
      </c>
      <c r="E72" s="127" t="n">
        <f aca="false">G72*I72*0.001</f>
        <v>10.24</v>
      </c>
      <c r="F72" s="127" t="n">
        <f aca="false">H72*I72*0.001</f>
        <v>10.24</v>
      </c>
      <c r="G72" s="128" t="n">
        <v>512</v>
      </c>
      <c r="H72" s="128" t="n">
        <v>512</v>
      </c>
      <c r="I72" s="129" t="n">
        <v>20</v>
      </c>
      <c r="J72" s="130" t="n">
        <f aca="false">0.000001*G72*H72</f>
        <v>0.262144</v>
      </c>
      <c r="K72" s="126"/>
      <c r="L72" s="125"/>
      <c r="M72" s="126" t="n">
        <v>16</v>
      </c>
      <c r="N72" s="126" t="s">
        <v>357</v>
      </c>
      <c r="O72" s="125" t="s">
        <v>377</v>
      </c>
      <c r="P72" s="125" t="s">
        <v>378</v>
      </c>
      <c r="Q72" s="128"/>
      <c r="R72" s="125" t="s">
        <v>368</v>
      </c>
    </row>
    <row r="73" customFormat="false" ht="12.75" hidden="false" customHeight="true" outlineLevel="0" collapsed="false">
      <c r="A73" s="124"/>
      <c r="B73" s="125" t="s">
        <v>379</v>
      </c>
      <c r="C73" s="126" t="s">
        <v>380</v>
      </c>
      <c r="D73" s="126" t="s">
        <v>232</v>
      </c>
      <c r="E73" s="127" t="n">
        <f aca="false">G73*I73*0.001</f>
        <v>14.8512</v>
      </c>
      <c r="F73" s="127" t="n">
        <f aca="false">H73*I73*0.001</f>
        <v>10.0096</v>
      </c>
      <c r="G73" s="128" t="n">
        <v>2184</v>
      </c>
      <c r="H73" s="128" t="n">
        <v>1472</v>
      </c>
      <c r="I73" s="129" t="n">
        <v>6.8</v>
      </c>
      <c r="J73" s="130" t="n">
        <f aca="false">0.000001*G73*H73</f>
        <v>3.214848</v>
      </c>
      <c r="K73" s="126"/>
      <c r="L73" s="125"/>
      <c r="M73" s="126" t="n">
        <v>16</v>
      </c>
      <c r="N73" s="126" t="s">
        <v>381</v>
      </c>
      <c r="O73" s="125" t="s">
        <v>366</v>
      </c>
      <c r="P73" s="125" t="s">
        <v>382</v>
      </c>
      <c r="Q73" s="128"/>
      <c r="R73" s="125" t="s">
        <v>368</v>
      </c>
    </row>
    <row r="74" customFormat="false" ht="12.75" hidden="false" customHeight="true" outlineLevel="0" collapsed="false">
      <c r="A74" s="124"/>
      <c r="B74" s="125" t="s">
        <v>383</v>
      </c>
      <c r="C74" s="126" t="s">
        <v>373</v>
      </c>
      <c r="D74" s="126" t="s">
        <v>232</v>
      </c>
      <c r="E74" s="127" t="n">
        <f aca="false">G74*I74*0.001</f>
        <v>13.77</v>
      </c>
      <c r="F74" s="127" t="n">
        <f aca="false">H74*I74*0.001</f>
        <v>9.18</v>
      </c>
      <c r="G74" s="128" t="n">
        <v>1530</v>
      </c>
      <c r="H74" s="128" t="n">
        <v>1020</v>
      </c>
      <c r="I74" s="129" t="n">
        <v>9</v>
      </c>
      <c r="J74" s="130" t="n">
        <f aca="false">0.000001*G74*H74</f>
        <v>1.5606</v>
      </c>
      <c r="K74" s="126"/>
      <c r="L74" s="125"/>
      <c r="M74" s="126" t="n">
        <v>16</v>
      </c>
      <c r="N74" s="126" t="s">
        <v>365</v>
      </c>
      <c r="O74" s="125" t="s">
        <v>366</v>
      </c>
      <c r="P74" s="125" t="s">
        <v>384</v>
      </c>
      <c r="Q74" s="128"/>
      <c r="R74" s="125" t="s">
        <v>368</v>
      </c>
    </row>
    <row r="75" customFormat="false" ht="12.75" hidden="false" customHeight="true" outlineLevel="0" collapsed="false">
      <c r="A75" s="124"/>
      <c r="B75" s="125" t="s">
        <v>385</v>
      </c>
      <c r="C75" s="126" t="s">
        <v>386</v>
      </c>
      <c r="D75" s="126" t="s">
        <v>232</v>
      </c>
      <c r="E75" s="127" t="n">
        <f aca="false">G75*I75*0.001</f>
        <v>11.84</v>
      </c>
      <c r="F75" s="127" t="n">
        <f aca="false">H75*I75*0.001</f>
        <v>8.88</v>
      </c>
      <c r="G75" s="128" t="n">
        <v>1600</v>
      </c>
      <c r="H75" s="128" t="n">
        <v>1200</v>
      </c>
      <c r="I75" s="129" t="n">
        <v>7.4</v>
      </c>
      <c r="J75" s="130" t="n">
        <f aca="false">0.000001*G75*H75</f>
        <v>1.92</v>
      </c>
      <c r="K75" s="126"/>
      <c r="L75" s="125"/>
      <c r="M75" s="126" t="n">
        <v>16</v>
      </c>
      <c r="N75" s="126" t="s">
        <v>387</v>
      </c>
      <c r="O75" s="125" t="s">
        <v>388</v>
      </c>
      <c r="P75" s="125" t="s">
        <v>389</v>
      </c>
      <c r="Q75" s="128"/>
      <c r="R75" s="125" t="s">
        <v>368</v>
      </c>
    </row>
    <row r="76" customFormat="false" ht="12.75" hidden="false" customHeight="true" outlineLevel="0" collapsed="false">
      <c r="A76" s="124"/>
      <c r="B76" s="125" t="s">
        <v>390</v>
      </c>
      <c r="C76" s="126" t="s">
        <v>380</v>
      </c>
      <c r="D76" s="126" t="s">
        <v>232</v>
      </c>
      <c r="E76" s="127" t="n">
        <f aca="false">G76*I76*0.001</f>
        <v>14.8512</v>
      </c>
      <c r="F76" s="127" t="n">
        <f aca="false">H76*I76*0.001</f>
        <v>10.0096</v>
      </c>
      <c r="G76" s="128" t="n">
        <v>2184</v>
      </c>
      <c r="H76" s="128" t="n">
        <v>1472</v>
      </c>
      <c r="I76" s="129" t="n">
        <v>6.8</v>
      </c>
      <c r="J76" s="130" t="n">
        <f aca="false">0.000001*G76*H76</f>
        <v>3.214848</v>
      </c>
      <c r="K76" s="126"/>
      <c r="L76" s="125"/>
      <c r="M76" s="126" t="n">
        <v>16</v>
      </c>
      <c r="N76" s="126" t="s">
        <v>391</v>
      </c>
      <c r="O76" s="125" t="s">
        <v>366</v>
      </c>
      <c r="P76" s="125" t="s">
        <v>374</v>
      </c>
      <c r="Q76" s="128"/>
      <c r="R76" s="125" t="s">
        <v>368</v>
      </c>
    </row>
    <row r="77" customFormat="false" ht="12.75" hidden="false" customHeight="true" outlineLevel="0" collapsed="false">
      <c r="A77" s="124"/>
      <c r="B77" s="125" t="s">
        <v>392</v>
      </c>
      <c r="C77" s="126" t="s">
        <v>240</v>
      </c>
      <c r="D77" s="126" t="s">
        <v>232</v>
      </c>
      <c r="E77" s="127" t="n">
        <f aca="false">G77*I77*0.001</f>
        <v>17.9604</v>
      </c>
      <c r="F77" s="127" t="n">
        <f aca="false">H77*I77*0.001</f>
        <v>13.5216</v>
      </c>
      <c r="G77" s="128" t="n">
        <v>3326</v>
      </c>
      <c r="H77" s="128" t="n">
        <v>2504</v>
      </c>
      <c r="I77" s="129" t="n">
        <v>5.4</v>
      </c>
      <c r="J77" s="130" t="n">
        <f aca="false">0.000001*G77*H77</f>
        <v>8.328304</v>
      </c>
      <c r="K77" s="126"/>
      <c r="L77" s="125"/>
      <c r="M77" s="126" t="n">
        <v>16</v>
      </c>
      <c r="N77" s="126" t="s">
        <v>393</v>
      </c>
      <c r="O77" s="125" t="s">
        <v>388</v>
      </c>
      <c r="P77" s="125" t="s">
        <v>394</v>
      </c>
      <c r="Q77" s="128"/>
      <c r="R77" s="125" t="s">
        <v>368</v>
      </c>
    </row>
    <row r="78" customFormat="false" ht="12.75" hidden="false" customHeight="true" outlineLevel="0" collapsed="false">
      <c r="A78" s="124"/>
      <c r="B78" s="125" t="s">
        <v>395</v>
      </c>
      <c r="C78" s="126" t="s">
        <v>396</v>
      </c>
      <c r="D78" s="126" t="s">
        <v>232</v>
      </c>
      <c r="E78" s="127" t="n">
        <f aca="false">G78*I78*0.001</f>
        <v>24.576</v>
      </c>
      <c r="F78" s="127" t="n">
        <f aca="false">H78*I78*0.001</f>
        <v>24.576</v>
      </c>
      <c r="G78" s="128" t="n">
        <v>1024</v>
      </c>
      <c r="H78" s="128" t="n">
        <v>1024</v>
      </c>
      <c r="I78" s="129" t="n">
        <v>24</v>
      </c>
      <c r="J78" s="130" t="n">
        <f aca="false">0.000001*G78*H78</f>
        <v>1.048576</v>
      </c>
      <c r="K78" s="126"/>
      <c r="L78" s="125"/>
      <c r="M78" s="126" t="n">
        <v>16</v>
      </c>
      <c r="N78" s="126" t="s">
        <v>397</v>
      </c>
      <c r="O78" s="125" t="s">
        <v>398</v>
      </c>
      <c r="P78" s="125" t="s">
        <v>399</v>
      </c>
      <c r="Q78" s="128"/>
      <c r="R78" s="125" t="s">
        <v>400</v>
      </c>
    </row>
    <row r="79" customFormat="false" ht="12.75" hidden="false" customHeight="true" outlineLevel="0" collapsed="false">
      <c r="A79" s="124"/>
      <c r="B79" s="125" t="s">
        <v>401</v>
      </c>
      <c r="C79" s="126" t="s">
        <v>402</v>
      </c>
      <c r="D79" s="126" t="s">
        <v>232</v>
      </c>
      <c r="E79" s="127" t="n">
        <f aca="false">G79*I79*0.001</f>
        <v>36.072</v>
      </c>
      <c r="F79" s="127" t="n">
        <f aca="false">H79*I79*0.001</f>
        <v>24.048</v>
      </c>
      <c r="G79" s="128" t="n">
        <v>4008</v>
      </c>
      <c r="H79" s="128" t="n">
        <v>2672</v>
      </c>
      <c r="I79" s="129" t="n">
        <v>9</v>
      </c>
      <c r="J79" s="130" t="n">
        <f aca="false">0.000001*G79*H79</f>
        <v>10.709376</v>
      </c>
      <c r="K79" s="126"/>
      <c r="L79" s="125"/>
      <c r="M79" s="126" t="n">
        <v>16</v>
      </c>
      <c r="N79" s="126" t="s">
        <v>403</v>
      </c>
      <c r="O79" s="125" t="s">
        <v>404</v>
      </c>
      <c r="P79" s="125" t="s">
        <v>405</v>
      </c>
      <c r="Q79" s="128"/>
      <c r="R79" s="125" t="s">
        <v>400</v>
      </c>
    </row>
    <row r="80" customFormat="false" ht="12.75" hidden="false" customHeight="true" outlineLevel="0" collapsed="false">
      <c r="A80" s="124"/>
      <c r="B80" s="125" t="s">
        <v>406</v>
      </c>
      <c r="C80" s="126" t="s">
        <v>407</v>
      </c>
      <c r="D80" s="126" t="s">
        <v>232</v>
      </c>
      <c r="E80" s="127" t="n">
        <f aca="false">G80*I80*0.001</f>
        <v>15.1552</v>
      </c>
      <c r="F80" s="127" t="n">
        <f aca="false">H80*I80*0.001</f>
        <v>15.1552</v>
      </c>
      <c r="G80" s="128" t="n">
        <v>2048</v>
      </c>
      <c r="H80" s="128" t="n">
        <v>2048</v>
      </c>
      <c r="I80" s="129" t="n">
        <v>7.4</v>
      </c>
      <c r="J80" s="130" t="n">
        <f aca="false">0.000001*G80*H80</f>
        <v>4.194304</v>
      </c>
      <c r="K80" s="126"/>
      <c r="L80" s="125"/>
      <c r="M80" s="126" t="n">
        <v>16</v>
      </c>
      <c r="N80" s="126" t="s">
        <v>387</v>
      </c>
      <c r="O80" s="125" t="s">
        <v>408</v>
      </c>
      <c r="P80" s="125" t="s">
        <v>409</v>
      </c>
      <c r="Q80" s="128"/>
      <c r="R80" s="125" t="s">
        <v>400</v>
      </c>
    </row>
    <row r="81" customFormat="false" ht="12.75" hidden="false" customHeight="true" outlineLevel="0" collapsed="false">
      <c r="A81" s="124"/>
      <c r="B81" s="125" t="s">
        <v>410</v>
      </c>
      <c r="C81" s="126" t="s">
        <v>411</v>
      </c>
      <c r="D81" s="126" t="s">
        <v>232</v>
      </c>
      <c r="E81" s="127" t="n">
        <f aca="false">G81*I81*0.001</f>
        <v>27.54</v>
      </c>
      <c r="F81" s="127" t="n">
        <f aca="false">H81*I81*0.001</f>
        <v>18.36</v>
      </c>
      <c r="G81" s="128" t="n">
        <v>3060</v>
      </c>
      <c r="H81" s="128" t="n">
        <v>2040</v>
      </c>
      <c r="I81" s="129" t="n">
        <v>9</v>
      </c>
      <c r="J81" s="130" t="n">
        <f aca="false">0.000001*G81*H81</f>
        <v>6.2424</v>
      </c>
      <c r="K81" s="126"/>
      <c r="L81" s="125"/>
      <c r="M81" s="126" t="n">
        <v>16</v>
      </c>
      <c r="N81" s="126" t="s">
        <v>412</v>
      </c>
      <c r="O81" s="125" t="s">
        <v>388</v>
      </c>
      <c r="P81" s="125" t="s">
        <v>413</v>
      </c>
      <c r="Q81" s="128"/>
      <c r="R81" s="125" t="s">
        <v>400</v>
      </c>
    </row>
    <row r="82" customFormat="false" ht="12.75" hidden="false" customHeight="true" outlineLevel="0" collapsed="false">
      <c r="A82" s="124"/>
      <c r="B82" s="125" t="s">
        <v>414</v>
      </c>
      <c r="C82" s="126" t="s">
        <v>415</v>
      </c>
      <c r="D82" s="126" t="s">
        <v>232</v>
      </c>
      <c r="E82" s="127" t="n">
        <f aca="false">G82*I82*0.001</f>
        <v>36.864</v>
      </c>
      <c r="F82" s="127" t="n">
        <f aca="false">H82*I82*0.001</f>
        <v>36.864</v>
      </c>
      <c r="G82" s="128" t="n">
        <v>4096</v>
      </c>
      <c r="H82" s="128" t="n">
        <v>4096</v>
      </c>
      <c r="I82" s="129" t="n">
        <v>9</v>
      </c>
      <c r="J82" s="130" t="n">
        <f aca="false">0.000001*G82*H82</f>
        <v>16.777216</v>
      </c>
      <c r="K82" s="126"/>
      <c r="L82" s="125"/>
      <c r="M82" s="126" t="n">
        <v>16</v>
      </c>
      <c r="N82" s="126" t="s">
        <v>416</v>
      </c>
      <c r="O82" s="125" t="s">
        <v>417</v>
      </c>
      <c r="P82" s="125" t="s">
        <v>418</v>
      </c>
      <c r="Q82" s="128"/>
      <c r="R82" s="125" t="s">
        <v>419</v>
      </c>
    </row>
    <row r="83" customFormat="false" ht="12.75" hidden="false" customHeight="true" outlineLevel="0" collapsed="false">
      <c r="A83" s="124"/>
      <c r="B83" s="131" t="s">
        <v>420</v>
      </c>
      <c r="C83" s="132" t="s">
        <v>421</v>
      </c>
      <c r="D83" s="132" t="s">
        <v>232</v>
      </c>
      <c r="E83" s="133" t="n">
        <f aca="false">G83*I83*0.001</f>
        <v>4.8618</v>
      </c>
      <c r="F83" s="133" t="n">
        <f aca="false">H83*I83*0.001</f>
        <v>3.663</v>
      </c>
      <c r="G83" s="134" t="n">
        <v>657</v>
      </c>
      <c r="H83" s="134" t="n">
        <v>495</v>
      </c>
      <c r="I83" s="135" t="n">
        <v>7.4</v>
      </c>
      <c r="J83" s="136" t="n">
        <f aca="false">0.000001*G83*H83</f>
        <v>0.325215</v>
      </c>
      <c r="K83" s="132"/>
      <c r="L83" s="131"/>
      <c r="M83" s="132" t="n">
        <v>16</v>
      </c>
      <c r="N83" s="132" t="s">
        <v>357</v>
      </c>
      <c r="O83" s="131" t="s">
        <v>422</v>
      </c>
      <c r="P83" s="131" t="s">
        <v>378</v>
      </c>
      <c r="Q83" s="134"/>
      <c r="R83" s="131"/>
    </row>
    <row r="84" customFormat="false" ht="12.75" hidden="false" customHeight="true" outlineLevel="0" collapsed="false">
      <c r="A84" s="124" t="s">
        <v>423</v>
      </c>
      <c r="B84" s="166" t="s">
        <v>424</v>
      </c>
      <c r="C84" s="167" t="s">
        <v>425</v>
      </c>
      <c r="D84" s="167" t="s">
        <v>232</v>
      </c>
      <c r="E84" s="168" t="n">
        <f aca="false">G84*I84*0.001</f>
        <v>13.77</v>
      </c>
      <c r="F84" s="168" t="n">
        <f aca="false">H84*I84*0.001</f>
        <v>9.18</v>
      </c>
      <c r="G84" s="169" t="n">
        <v>1530</v>
      </c>
      <c r="H84" s="169" t="n">
        <v>1020</v>
      </c>
      <c r="I84" s="170" t="n">
        <v>9</v>
      </c>
      <c r="J84" s="171" t="n">
        <f aca="false">0.000001*G84*H84</f>
        <v>1.5606</v>
      </c>
      <c r="K84" s="167"/>
      <c r="L84" s="166"/>
      <c r="M84" s="167" t="n">
        <v>16</v>
      </c>
      <c r="N84" s="167" t="s">
        <v>426</v>
      </c>
      <c r="O84" s="166" t="s">
        <v>427</v>
      </c>
      <c r="P84" s="166" t="s">
        <v>428</v>
      </c>
      <c r="Q84" s="169" t="s">
        <v>360</v>
      </c>
      <c r="R84" s="166"/>
    </row>
    <row r="85" customFormat="false" ht="12.75" hidden="false" customHeight="true" outlineLevel="0" collapsed="false">
      <c r="A85" s="124"/>
      <c r="B85" s="166" t="s">
        <v>429</v>
      </c>
      <c r="C85" s="167" t="s">
        <v>430</v>
      </c>
      <c r="D85" s="167" t="s">
        <v>232</v>
      </c>
      <c r="E85" s="168" t="n">
        <f aca="false">G85*I85*0.001</f>
        <v>14.8512</v>
      </c>
      <c r="F85" s="168" t="n">
        <f aca="false">H85*I85*0.001</f>
        <v>10.0096</v>
      </c>
      <c r="G85" s="169" t="n">
        <v>2184</v>
      </c>
      <c r="H85" s="169" t="n">
        <v>1472</v>
      </c>
      <c r="I85" s="170" t="n">
        <v>6.8</v>
      </c>
      <c r="J85" s="171" t="n">
        <f aca="false">0.000001*G85*H85</f>
        <v>3.214848</v>
      </c>
      <c r="K85" s="167"/>
      <c r="L85" s="166"/>
      <c r="M85" s="167" t="n">
        <v>16</v>
      </c>
      <c r="N85" s="167" t="s">
        <v>337</v>
      </c>
      <c r="O85" s="166" t="s">
        <v>431</v>
      </c>
      <c r="P85" s="166" t="s">
        <v>432</v>
      </c>
      <c r="Q85" s="169" t="s">
        <v>351</v>
      </c>
      <c r="R85" s="166"/>
    </row>
    <row r="86" customFormat="false" ht="12.75" hidden="false" customHeight="true" outlineLevel="0" collapsed="false">
      <c r="A86" s="124"/>
      <c r="B86" s="166" t="s">
        <v>433</v>
      </c>
      <c r="C86" s="167" t="s">
        <v>434</v>
      </c>
      <c r="D86" s="167" t="s">
        <v>232</v>
      </c>
      <c r="E86" s="168" t="n">
        <f aca="false">G86*I86*0.001</f>
        <v>27.648</v>
      </c>
      <c r="F86" s="168" t="n">
        <f aca="false">H86*I86*0.001</f>
        <v>18.432</v>
      </c>
      <c r="G86" s="169" t="n">
        <v>3072</v>
      </c>
      <c r="H86" s="169" t="n">
        <v>2048</v>
      </c>
      <c r="I86" s="170" t="n">
        <v>9</v>
      </c>
      <c r="J86" s="171" t="n">
        <f aca="false">0.000001*G86*H86</f>
        <v>6.291456</v>
      </c>
      <c r="K86" s="167"/>
      <c r="L86" s="166"/>
      <c r="M86" s="167" t="n">
        <v>16</v>
      </c>
      <c r="N86" s="167" t="s">
        <v>426</v>
      </c>
      <c r="O86" s="166" t="s">
        <v>435</v>
      </c>
      <c r="P86" s="166" t="s">
        <v>436</v>
      </c>
      <c r="Q86" s="169" t="s">
        <v>360</v>
      </c>
      <c r="R86" s="166"/>
    </row>
    <row r="87" customFormat="false" ht="12.75" hidden="false" customHeight="true" outlineLevel="0" collapsed="false">
      <c r="A87" s="124"/>
      <c r="B87" s="166" t="s">
        <v>437</v>
      </c>
      <c r="C87" s="167" t="s">
        <v>438</v>
      </c>
      <c r="D87" s="167" t="s">
        <v>232</v>
      </c>
      <c r="E87" s="168" t="n">
        <f aca="false">G87*I87*0.001</f>
        <v>11.84</v>
      </c>
      <c r="F87" s="168" t="n">
        <f aca="false">H87*I87*0.001</f>
        <v>8.88</v>
      </c>
      <c r="G87" s="169" t="n">
        <v>1600</v>
      </c>
      <c r="H87" s="169" t="n">
        <v>1200</v>
      </c>
      <c r="I87" s="170" t="n">
        <v>7.4</v>
      </c>
      <c r="J87" s="171" t="n">
        <f aca="false">0.000001*G87*H87</f>
        <v>1.92</v>
      </c>
      <c r="K87" s="167"/>
      <c r="L87" s="166"/>
      <c r="M87" s="167" t="n">
        <v>16</v>
      </c>
      <c r="N87" s="167"/>
      <c r="O87" s="166" t="s">
        <v>344</v>
      </c>
      <c r="P87" s="166"/>
      <c r="Q87" s="169" t="s">
        <v>247</v>
      </c>
      <c r="R87" s="166"/>
    </row>
    <row r="88" customFormat="false" ht="12.75" hidden="false" customHeight="true" outlineLevel="0" collapsed="false">
      <c r="A88" s="124"/>
      <c r="B88" s="166" t="s">
        <v>439</v>
      </c>
      <c r="C88" s="167" t="s">
        <v>440</v>
      </c>
      <c r="D88" s="167" t="s">
        <v>232</v>
      </c>
      <c r="E88" s="168" t="n">
        <f aca="false">G88*I88*0.001</f>
        <v>15.1552</v>
      </c>
      <c r="F88" s="168" t="n">
        <f aca="false">H88*I88*0.001</f>
        <v>15.1552</v>
      </c>
      <c r="G88" s="169" t="n">
        <v>2048</v>
      </c>
      <c r="H88" s="169" t="n">
        <v>2048</v>
      </c>
      <c r="I88" s="170" t="n">
        <v>7.4</v>
      </c>
      <c r="J88" s="171" t="n">
        <f aca="false">0.000001*G88*H88</f>
        <v>4.194304</v>
      </c>
      <c r="K88" s="167"/>
      <c r="L88" s="166"/>
      <c r="M88" s="167" t="n">
        <v>16</v>
      </c>
      <c r="N88" s="167"/>
      <c r="O88" s="166" t="s">
        <v>344</v>
      </c>
      <c r="P88" s="166"/>
      <c r="Q88" s="169" t="s">
        <v>247</v>
      </c>
      <c r="R88" s="166"/>
    </row>
    <row r="89" customFormat="false" ht="12.75" hidden="false" customHeight="true" outlineLevel="0" collapsed="false">
      <c r="A89" s="124"/>
      <c r="B89" s="172" t="s">
        <v>441</v>
      </c>
      <c r="C89" s="173" t="s">
        <v>442</v>
      </c>
      <c r="D89" s="173" t="s">
        <v>232</v>
      </c>
      <c r="E89" s="174" t="n">
        <f aca="false">G89*I89*0.001</f>
        <v>17.9604</v>
      </c>
      <c r="F89" s="174" t="n">
        <f aca="false">H89*I89*0.001</f>
        <v>13.5216</v>
      </c>
      <c r="G89" s="175" t="n">
        <v>3326</v>
      </c>
      <c r="H89" s="175" t="n">
        <v>2504</v>
      </c>
      <c r="I89" s="176" t="n">
        <v>5.4</v>
      </c>
      <c r="J89" s="177" t="n">
        <f aca="false">0.000001*G89*H89</f>
        <v>8.328304</v>
      </c>
      <c r="K89" s="173"/>
      <c r="L89" s="172"/>
      <c r="M89" s="173" t="n">
        <v>16</v>
      </c>
      <c r="N89" s="173" t="s">
        <v>416</v>
      </c>
      <c r="O89" s="172" t="s">
        <v>443</v>
      </c>
      <c r="P89" s="172" t="s">
        <v>444</v>
      </c>
      <c r="Q89" s="175" t="s">
        <v>445</v>
      </c>
      <c r="R89" s="172"/>
    </row>
    <row r="90" customFormat="false" ht="12.75" hidden="false" customHeight="true" outlineLevel="0" collapsed="false">
      <c r="A90" s="124" t="s">
        <v>446</v>
      </c>
      <c r="B90" s="137" t="s">
        <v>447</v>
      </c>
      <c r="C90" s="138" t="s">
        <v>261</v>
      </c>
      <c r="D90" s="138" t="s">
        <v>232</v>
      </c>
      <c r="E90" s="139" t="n">
        <f aca="false">G90*I90*0.001</f>
        <v>4.884</v>
      </c>
      <c r="F90" s="139" t="n">
        <f aca="false">H90*I90*0.001</f>
        <v>3.6556</v>
      </c>
      <c r="G90" s="140" t="n">
        <v>660</v>
      </c>
      <c r="H90" s="140" t="n">
        <v>494</v>
      </c>
      <c r="I90" s="141" t="n">
        <v>7.4</v>
      </c>
      <c r="J90" s="142" t="n">
        <f aca="false">0.000001*G90*H90</f>
        <v>0.32604</v>
      </c>
      <c r="K90" s="152"/>
      <c r="L90" s="137"/>
      <c r="M90" s="138" t="n">
        <v>16</v>
      </c>
      <c r="N90" s="138" t="s">
        <v>448</v>
      </c>
      <c r="O90" s="137" t="s">
        <v>449</v>
      </c>
      <c r="P90" s="137" t="s">
        <v>450</v>
      </c>
      <c r="Q90" s="140" t="s">
        <v>451</v>
      </c>
      <c r="R90" s="137" t="s">
        <v>452</v>
      </c>
    </row>
    <row r="91" customFormat="false" ht="12.75" hidden="false" customHeight="true" outlineLevel="0" collapsed="false">
      <c r="A91" s="124"/>
      <c r="B91" s="137" t="s">
        <v>453</v>
      </c>
      <c r="C91" s="138" t="s">
        <v>231</v>
      </c>
      <c r="D91" s="138" t="s">
        <v>232</v>
      </c>
      <c r="E91" s="139" t="n">
        <f aca="false">G91*I91*0.001</f>
        <v>8.9784</v>
      </c>
      <c r="F91" s="139" t="n">
        <f aca="false">H91*I91*0.001</f>
        <v>6.708</v>
      </c>
      <c r="G91" s="140" t="n">
        <v>1392</v>
      </c>
      <c r="H91" s="140" t="n">
        <v>1040</v>
      </c>
      <c r="I91" s="141" t="n">
        <v>6.45</v>
      </c>
      <c r="J91" s="142" t="n">
        <f aca="false">0.000001*G91*H91</f>
        <v>1.44768</v>
      </c>
      <c r="K91" s="138"/>
      <c r="L91" s="137"/>
      <c r="M91" s="138" t="n">
        <v>16</v>
      </c>
      <c r="N91" s="138" t="s">
        <v>454</v>
      </c>
      <c r="O91" s="137" t="s">
        <v>449</v>
      </c>
      <c r="P91" s="137" t="s">
        <v>455</v>
      </c>
      <c r="Q91" s="140" t="s">
        <v>456</v>
      </c>
      <c r="R91" s="137" t="s">
        <v>452</v>
      </c>
    </row>
    <row r="92" customFormat="false" ht="12.75" hidden="false" customHeight="true" outlineLevel="0" collapsed="false">
      <c r="A92" s="124"/>
      <c r="B92" s="137" t="s">
        <v>457</v>
      </c>
      <c r="C92" s="138" t="s">
        <v>458</v>
      </c>
      <c r="D92" s="138" t="s">
        <v>232</v>
      </c>
      <c r="E92" s="139" t="n">
        <f aca="false">G92*I92*0.001</f>
        <v>15.1552</v>
      </c>
      <c r="F92" s="139" t="n">
        <f aca="false">H92*I92*0.001</f>
        <v>15.1552</v>
      </c>
      <c r="G92" s="140" t="n">
        <v>2048</v>
      </c>
      <c r="H92" s="140" t="n">
        <v>2048</v>
      </c>
      <c r="I92" s="141" t="n">
        <v>7.4</v>
      </c>
      <c r="J92" s="142" t="n">
        <f aca="false">0.000001*G92*H92</f>
        <v>4.194304</v>
      </c>
      <c r="K92" s="138"/>
      <c r="L92" s="137"/>
      <c r="M92" s="138" t="n">
        <v>16</v>
      </c>
      <c r="N92" s="138" t="s">
        <v>459</v>
      </c>
      <c r="O92" s="137" t="s">
        <v>460</v>
      </c>
      <c r="P92" s="137" t="s">
        <v>461</v>
      </c>
      <c r="Q92" s="140" t="s">
        <v>247</v>
      </c>
      <c r="R92" s="137" t="s">
        <v>462</v>
      </c>
    </row>
    <row r="93" customFormat="false" ht="12.75" hidden="false" customHeight="true" outlineLevel="0" collapsed="false">
      <c r="A93" s="124"/>
      <c r="B93" s="137" t="s">
        <v>463</v>
      </c>
      <c r="C93" s="138" t="s">
        <v>240</v>
      </c>
      <c r="D93" s="138" t="s">
        <v>232</v>
      </c>
      <c r="E93" s="139" t="n">
        <f aca="false">G93*I93*0.001</f>
        <v>17.9604</v>
      </c>
      <c r="F93" s="139" t="n">
        <f aca="false">H93*I93*0.001</f>
        <v>13.5216</v>
      </c>
      <c r="G93" s="140" t="n">
        <v>3326</v>
      </c>
      <c r="H93" s="140" t="n">
        <v>2504</v>
      </c>
      <c r="I93" s="141" t="n">
        <v>5.4</v>
      </c>
      <c r="J93" s="142" t="n">
        <f aca="false">0.000001*G93*H93</f>
        <v>8.328304</v>
      </c>
      <c r="K93" s="138"/>
      <c r="L93" s="137"/>
      <c r="M93" s="138" t="n">
        <v>16</v>
      </c>
      <c r="N93" s="138" t="s">
        <v>464</v>
      </c>
      <c r="O93" s="137" t="s">
        <v>460</v>
      </c>
      <c r="P93" s="137" t="s">
        <v>465</v>
      </c>
      <c r="Q93" s="140" t="s">
        <v>445</v>
      </c>
      <c r="R93" s="137" t="s">
        <v>462</v>
      </c>
    </row>
    <row r="94" customFormat="false" ht="12.75" hidden="false" customHeight="true" outlineLevel="0" collapsed="false">
      <c r="A94" s="124"/>
      <c r="B94" s="137" t="s">
        <v>466</v>
      </c>
      <c r="C94" s="138" t="s">
        <v>402</v>
      </c>
      <c r="D94" s="138" t="s">
        <v>232</v>
      </c>
      <c r="E94" s="139" t="n">
        <f aca="false">G94*I94*0.001</f>
        <v>36.072</v>
      </c>
      <c r="F94" s="139" t="n">
        <f aca="false">H94*I94*0.001</f>
        <v>24.048</v>
      </c>
      <c r="G94" s="140" t="n">
        <v>4008</v>
      </c>
      <c r="H94" s="140" t="n">
        <v>2672</v>
      </c>
      <c r="I94" s="141" t="n">
        <v>9</v>
      </c>
      <c r="J94" s="142" t="n">
        <f aca="false">0.000001*G94*H94</f>
        <v>10.709376</v>
      </c>
      <c r="K94" s="138"/>
      <c r="L94" s="137"/>
      <c r="M94" s="138" t="n">
        <v>16</v>
      </c>
      <c r="N94" s="138" t="s">
        <v>467</v>
      </c>
      <c r="O94" s="137" t="s">
        <v>468</v>
      </c>
      <c r="P94" s="137" t="s">
        <v>469</v>
      </c>
      <c r="Q94" s="140" t="s">
        <v>470</v>
      </c>
      <c r="R94" s="137" t="s">
        <v>462</v>
      </c>
    </row>
    <row r="95" customFormat="false" ht="12.75" hidden="false" customHeight="true" outlineLevel="0" collapsed="false">
      <c r="A95" s="124"/>
      <c r="B95" s="137" t="s">
        <v>471</v>
      </c>
      <c r="C95" s="138" t="s">
        <v>472</v>
      </c>
      <c r="D95" s="138" t="s">
        <v>232</v>
      </c>
      <c r="E95" s="139" t="n">
        <f aca="false">G95*I95*0.001</f>
        <v>36.2896</v>
      </c>
      <c r="F95" s="139" t="n">
        <f aca="false">H95*I95*0.001</f>
        <v>24.272</v>
      </c>
      <c r="G95" s="140" t="n">
        <v>4904</v>
      </c>
      <c r="H95" s="140" t="n">
        <v>3280</v>
      </c>
      <c r="I95" s="141" t="n">
        <v>7.4</v>
      </c>
      <c r="J95" s="142" t="n">
        <f aca="false">0.000001*G95*H95</f>
        <v>16.08512</v>
      </c>
      <c r="K95" s="138"/>
      <c r="L95" s="137"/>
      <c r="M95" s="138" t="n">
        <v>16</v>
      </c>
      <c r="N95" s="138" t="s">
        <v>473</v>
      </c>
      <c r="O95" s="137" t="s">
        <v>460</v>
      </c>
      <c r="P95" s="137" t="s">
        <v>409</v>
      </c>
      <c r="Q95" s="140" t="s">
        <v>451</v>
      </c>
      <c r="R95" s="137" t="s">
        <v>462</v>
      </c>
    </row>
    <row r="96" customFormat="false" ht="12.75" hidden="false" customHeight="true" outlineLevel="0" collapsed="false">
      <c r="A96" s="124"/>
      <c r="B96" s="160" t="s">
        <v>474</v>
      </c>
      <c r="C96" s="161" t="s">
        <v>475</v>
      </c>
      <c r="D96" s="161" t="s">
        <v>232</v>
      </c>
      <c r="E96" s="162" t="n">
        <f aca="false">G96*0.0082</f>
        <v>6.1664</v>
      </c>
      <c r="F96" s="162" t="n">
        <f aca="false">H96*0.0084</f>
        <v>4.872</v>
      </c>
      <c r="G96" s="163" t="n">
        <v>752</v>
      </c>
      <c r="H96" s="163" t="n">
        <v>580</v>
      </c>
      <c r="I96" s="164" t="s">
        <v>476</v>
      </c>
      <c r="J96" s="165" t="n">
        <f aca="false">0.000001*G96*H96</f>
        <v>0.43616</v>
      </c>
      <c r="K96" s="161"/>
      <c r="L96" s="160"/>
      <c r="M96" s="161" t="n">
        <v>16</v>
      </c>
      <c r="N96" s="161" t="s">
        <v>467</v>
      </c>
      <c r="O96" s="160" t="s">
        <v>477</v>
      </c>
      <c r="P96" s="160" t="s">
        <v>478</v>
      </c>
      <c r="Q96" s="163" t="s">
        <v>470</v>
      </c>
      <c r="R96" s="160"/>
    </row>
    <row r="97" customFormat="false" ht="12.75" hidden="false" customHeight="true" outlineLevel="0" collapsed="false">
      <c r="A97" s="124" t="s">
        <v>479</v>
      </c>
      <c r="B97" s="125" t="s">
        <v>480</v>
      </c>
      <c r="C97" s="126" t="s">
        <v>481</v>
      </c>
      <c r="D97" s="126" t="s">
        <v>232</v>
      </c>
      <c r="E97" s="127" t="n">
        <f aca="false">G97*I97*0.001</f>
        <v>3.584</v>
      </c>
      <c r="F97" s="127" t="n">
        <f aca="false">H97*I97*0.001</f>
        <v>2.688</v>
      </c>
      <c r="G97" s="128" t="n">
        <v>640</v>
      </c>
      <c r="H97" s="128" t="n">
        <v>480</v>
      </c>
      <c r="I97" s="129" t="n">
        <v>5.6</v>
      </c>
      <c r="J97" s="130" t="n">
        <f aca="false">0.000001*G97*H97</f>
        <v>0.3072</v>
      </c>
      <c r="K97" s="126" t="n">
        <v>60</v>
      </c>
      <c r="L97" s="125"/>
      <c r="M97" s="126" t="n">
        <v>8</v>
      </c>
      <c r="N97" s="126"/>
      <c r="O97" s="125"/>
      <c r="P97" s="125"/>
      <c r="Q97" s="128"/>
      <c r="R97" s="125"/>
    </row>
    <row r="98" customFormat="false" ht="12.75" hidden="false" customHeight="true" outlineLevel="0" collapsed="false">
      <c r="A98" s="124"/>
      <c r="B98" s="125" t="s">
        <v>482</v>
      </c>
      <c r="C98" s="126" t="s">
        <v>483</v>
      </c>
      <c r="D98" s="126" t="s">
        <v>232</v>
      </c>
      <c r="E98" s="127" t="n">
        <f aca="false">G98*I98*0.001</f>
        <v>4.7616</v>
      </c>
      <c r="F98" s="127" t="n">
        <f aca="false">H98*I98*0.001</f>
        <v>3.5712</v>
      </c>
      <c r="G98" s="128" t="n">
        <v>1024</v>
      </c>
      <c r="H98" s="128" t="n">
        <v>768</v>
      </c>
      <c r="I98" s="129" t="n">
        <v>4.65</v>
      </c>
      <c r="J98" s="130" t="n">
        <f aca="false">0.000001*G98*H98</f>
        <v>0.786432</v>
      </c>
      <c r="K98" s="126" t="n">
        <v>30</v>
      </c>
      <c r="L98" s="125"/>
      <c r="M98" s="126" t="n">
        <v>8</v>
      </c>
      <c r="N98" s="126"/>
      <c r="O98" s="125"/>
      <c r="P98" s="125"/>
      <c r="Q98" s="128"/>
      <c r="R98" s="125"/>
    </row>
    <row r="99" customFormat="false" ht="12.75" hidden="false" customHeight="true" outlineLevel="0" collapsed="false">
      <c r="A99" s="124"/>
      <c r="B99" s="125" t="s">
        <v>484</v>
      </c>
      <c r="C99" s="126" t="s">
        <v>309</v>
      </c>
      <c r="D99" s="126" t="s">
        <v>232</v>
      </c>
      <c r="E99" s="127" t="n">
        <f aca="false">G99*I99*0.001</f>
        <v>5.952</v>
      </c>
      <c r="F99" s="127" t="n">
        <f aca="false">H99*I99*0.001</f>
        <v>4.464</v>
      </c>
      <c r="G99" s="128" t="n">
        <v>1280</v>
      </c>
      <c r="H99" s="128" t="n">
        <v>960</v>
      </c>
      <c r="I99" s="129" t="n">
        <v>4.65</v>
      </c>
      <c r="J99" s="130" t="n">
        <f aca="false">0.000001*G99*H99</f>
        <v>1.2288</v>
      </c>
      <c r="K99" s="126" t="n">
        <v>15</v>
      </c>
      <c r="L99" s="125"/>
      <c r="M99" s="126" t="n">
        <v>8</v>
      </c>
      <c r="N99" s="126"/>
      <c r="O99" s="125"/>
      <c r="P99" s="125"/>
      <c r="Q99" s="128"/>
      <c r="R99" s="125"/>
    </row>
    <row r="100" customFormat="false" ht="12.75" hidden="false" customHeight="true" outlineLevel="0" collapsed="false">
      <c r="A100" s="124"/>
      <c r="B100" s="125" t="s">
        <v>485</v>
      </c>
      <c r="C100" s="126" t="s">
        <v>276</v>
      </c>
      <c r="D100" s="126" t="s">
        <v>232</v>
      </c>
      <c r="E100" s="127" t="n">
        <f aca="false">G100*I100*0.001</f>
        <v>7.04</v>
      </c>
      <c r="F100" s="127" t="n">
        <f aca="false">H100*I100*0.001</f>
        <v>5.28</v>
      </c>
      <c r="G100" s="128" t="n">
        <v>1600</v>
      </c>
      <c r="H100" s="128" t="n">
        <v>1200</v>
      </c>
      <c r="I100" s="129" t="n">
        <v>4.4</v>
      </c>
      <c r="J100" s="130" t="n">
        <f aca="false">0.000001*G100*H100</f>
        <v>1.92</v>
      </c>
      <c r="K100" s="126" t="n">
        <v>12</v>
      </c>
      <c r="L100" s="125"/>
      <c r="M100" s="126" t="n">
        <v>8</v>
      </c>
      <c r="N100" s="126"/>
      <c r="O100" s="125"/>
      <c r="P100" s="125"/>
      <c r="Q100" s="128"/>
      <c r="R100" s="125"/>
    </row>
    <row r="101" customFormat="false" ht="12.75" hidden="false" customHeight="true" outlineLevel="0" collapsed="false">
      <c r="A101" s="178" t="s">
        <v>24</v>
      </c>
      <c r="B101" s="179" t="s">
        <v>486</v>
      </c>
      <c r="C101" s="180" t="s">
        <v>487</v>
      </c>
      <c r="D101" s="181" t="s">
        <v>281</v>
      </c>
      <c r="E101" s="180" t="n">
        <f aca="false">TRUNC((G101*I101)/1000,2)</f>
        <v>18.13</v>
      </c>
      <c r="F101" s="180" t="n">
        <f aca="false">TRUNC(H101*I101/1000,2)</f>
        <v>13.69</v>
      </c>
      <c r="G101" s="180" t="n">
        <v>3358</v>
      </c>
      <c r="H101" s="180" t="n">
        <v>2536</v>
      </c>
      <c r="I101" s="182" t="n">
        <v>5.4</v>
      </c>
      <c r="J101" s="182" t="n">
        <v>8.6</v>
      </c>
      <c r="K101" s="183"/>
      <c r="L101" s="180"/>
      <c r="M101" s="181" t="s">
        <v>488</v>
      </c>
      <c r="N101" s="181" t="s">
        <v>489</v>
      </c>
      <c r="O101" s="180" t="s">
        <v>490</v>
      </c>
      <c r="P101" s="180"/>
      <c r="Q101" s="125"/>
      <c r="R101" s="125"/>
    </row>
    <row r="102" customFormat="false" ht="12.75" hidden="false" customHeight="true" outlineLevel="0" collapsed="false">
      <c r="A102" s="178"/>
      <c r="B102" s="184" t="s">
        <v>491</v>
      </c>
      <c r="C102" s="180" t="s">
        <v>492</v>
      </c>
      <c r="D102" s="181" t="s">
        <v>281</v>
      </c>
      <c r="E102" s="180" t="n">
        <f aca="false">TRUNC((G102*I102)/1000,2)</f>
        <v>27.46</v>
      </c>
      <c r="F102" s="180" t="n">
        <f aca="false">TRUNC(H102*I102/1000,2)</f>
        <v>21.9</v>
      </c>
      <c r="G102" s="180" t="n">
        <v>4540</v>
      </c>
      <c r="H102" s="180" t="n">
        <v>3620</v>
      </c>
      <c r="I102" s="182" t="n">
        <v>6.05</v>
      </c>
      <c r="J102" s="182" t="n">
        <v>16</v>
      </c>
      <c r="K102" s="181" t="s">
        <v>490</v>
      </c>
      <c r="L102" s="180"/>
      <c r="M102" s="181" t="s">
        <v>488</v>
      </c>
      <c r="N102" s="181" t="s">
        <v>493</v>
      </c>
      <c r="O102" s="180" t="s">
        <v>490</v>
      </c>
      <c r="P102" s="180"/>
      <c r="Q102" s="125"/>
      <c r="R102" s="125"/>
    </row>
    <row r="103" customFormat="false" ht="12.75" hidden="false" customHeight="true" outlineLevel="0" collapsed="false">
      <c r="A103" s="178"/>
      <c r="B103" s="184" t="s">
        <v>494</v>
      </c>
      <c r="C103" s="180" t="s">
        <v>495</v>
      </c>
      <c r="D103" s="181" t="s">
        <v>281</v>
      </c>
      <c r="E103" s="180" t="n">
        <f aca="false">TRUNC((G103*I103)/1000,2)</f>
        <v>12.52</v>
      </c>
      <c r="F103" s="180" t="n">
        <f aca="false">TRUNC(H103*I103/1000,2)</f>
        <v>10.02</v>
      </c>
      <c r="G103" s="180" t="n">
        <v>2758</v>
      </c>
      <c r="H103" s="180" t="n">
        <v>2208</v>
      </c>
      <c r="I103" s="182" t="n">
        <v>4.54</v>
      </c>
      <c r="J103" s="182" t="n">
        <v>6</v>
      </c>
      <c r="K103" s="181" t="s">
        <v>490</v>
      </c>
      <c r="L103" s="180"/>
      <c r="M103" s="181" t="s">
        <v>488</v>
      </c>
      <c r="N103" s="181" t="s">
        <v>496</v>
      </c>
      <c r="O103" s="180" t="s">
        <v>490</v>
      </c>
      <c r="P103" s="180"/>
      <c r="Q103" s="185"/>
      <c r="R103" s="185"/>
    </row>
    <row r="104" customFormat="false" ht="12.75" hidden="false" customHeight="true" outlineLevel="0" collapsed="false">
      <c r="A104" s="178"/>
      <c r="B104" s="184" t="s">
        <v>497</v>
      </c>
      <c r="C104" s="180" t="s">
        <v>498</v>
      </c>
      <c r="D104" s="181" t="s">
        <v>281</v>
      </c>
      <c r="E104" s="180" t="n">
        <f aca="false">TRUNC((G104*I104)/1000,2)</f>
        <v>36</v>
      </c>
      <c r="F104" s="180" t="n">
        <f aca="false">TRUNC(H104*I104/1000,2)</f>
        <v>36</v>
      </c>
      <c r="G104" s="180" t="n">
        <v>4000</v>
      </c>
      <c r="H104" s="180" t="n">
        <v>4000</v>
      </c>
      <c r="I104" s="182" t="n">
        <v>9</v>
      </c>
      <c r="J104" s="182" t="n">
        <v>16.8</v>
      </c>
      <c r="K104" s="181" t="s">
        <v>490</v>
      </c>
      <c r="L104" s="180"/>
      <c r="M104" s="181" t="s">
        <v>488</v>
      </c>
      <c r="N104" s="181" t="s">
        <v>499</v>
      </c>
      <c r="O104" s="180" t="s">
        <v>490</v>
      </c>
      <c r="P104" s="180"/>
      <c r="Q104" s="185"/>
      <c r="R104" s="185"/>
    </row>
    <row r="105" customFormat="false" ht="12.75" hidden="false" customHeight="true" outlineLevel="0" collapsed="false">
      <c r="A105" s="178"/>
      <c r="B105" s="184" t="s">
        <v>500</v>
      </c>
      <c r="C105" s="180" t="s">
        <v>501</v>
      </c>
      <c r="D105" s="181" t="s">
        <v>281</v>
      </c>
      <c r="E105" s="180" t="n">
        <f aca="false">TRUNC((G105*I105)/1000,2)</f>
        <v>36</v>
      </c>
      <c r="F105" s="180" t="n">
        <f aca="false">TRUNC(H105*I105/1000,2)</f>
        <v>36</v>
      </c>
      <c r="G105" s="180" t="n">
        <v>3000</v>
      </c>
      <c r="H105" s="180" t="n">
        <v>3000</v>
      </c>
      <c r="I105" s="182" t="n">
        <v>12</v>
      </c>
      <c r="J105" s="182" t="n">
        <v>9</v>
      </c>
      <c r="K105" s="181" t="s">
        <v>490</v>
      </c>
      <c r="L105" s="180"/>
      <c r="M105" s="181" t="s">
        <v>488</v>
      </c>
      <c r="N105" s="181" t="s">
        <v>490</v>
      </c>
      <c r="O105" s="180" t="s">
        <v>490</v>
      </c>
      <c r="P105" s="180"/>
      <c r="Q105" s="185"/>
      <c r="R105" s="185"/>
    </row>
    <row r="106" customFormat="false" ht="12.75" hidden="false" customHeight="true" outlineLevel="0" collapsed="false">
      <c r="A106" s="178"/>
      <c r="B106" s="184" t="s">
        <v>502</v>
      </c>
      <c r="C106" s="180" t="s">
        <v>503</v>
      </c>
      <c r="D106" s="181" t="s">
        <v>281</v>
      </c>
      <c r="E106" s="180" t="n">
        <f aca="false">TRUNC((G106*I106)/1000,2)</f>
        <v>24.25</v>
      </c>
      <c r="F106" s="180" t="n">
        <f aca="false">TRUNC(H106*I106/1000,2)</f>
        <v>15.83</v>
      </c>
      <c r="G106" s="180" t="n">
        <v>3110</v>
      </c>
      <c r="H106" s="180" t="n">
        <v>2030</v>
      </c>
      <c r="I106" s="182" t="n">
        <v>7.8</v>
      </c>
      <c r="J106" s="182" t="n">
        <v>6</v>
      </c>
      <c r="K106" s="181" t="s">
        <v>490</v>
      </c>
      <c r="L106" s="180"/>
      <c r="M106" s="181" t="s">
        <v>488</v>
      </c>
      <c r="N106" s="181" t="s">
        <v>504</v>
      </c>
      <c r="O106" s="180" t="s">
        <v>490</v>
      </c>
      <c r="P106" s="180"/>
      <c r="Q106" s="186"/>
      <c r="R106" s="186"/>
      <c r="S106" s="187"/>
      <c r="T106" s="187"/>
      <c r="U106" s="187"/>
      <c r="V106" s="187"/>
      <c r="W106" s="187"/>
      <c r="X106" s="187"/>
      <c r="Y106" s="187"/>
      <c r="Z106" s="187"/>
      <c r="AA106" s="187"/>
      <c r="AB106" s="187"/>
      <c r="AC106" s="187"/>
      <c r="AD106" s="187"/>
      <c r="AE106" s="187"/>
      <c r="AF106" s="187"/>
      <c r="AG106" s="187"/>
      <c r="AH106" s="187"/>
      <c r="AI106" s="187"/>
    </row>
    <row r="107" customFormat="false" ht="12.75" hidden="false" customHeight="true" outlineLevel="0" collapsed="false">
      <c r="A107" s="178"/>
      <c r="B107" s="184" t="s">
        <v>505</v>
      </c>
      <c r="C107" s="180" t="s">
        <v>506</v>
      </c>
      <c r="D107" s="181" t="s">
        <v>281</v>
      </c>
      <c r="E107" s="180" t="n">
        <f aca="false">TRUNC((G107*I107)/1000,2)</f>
        <v>23.98</v>
      </c>
      <c r="F107" s="180" t="n">
        <f aca="false">TRUNC(H107*I107/1000,2)</f>
        <v>16.4</v>
      </c>
      <c r="G107" s="180" t="n">
        <v>3964</v>
      </c>
      <c r="H107" s="180" t="n">
        <v>2712</v>
      </c>
      <c r="I107" s="182" t="n">
        <v>6.05</v>
      </c>
      <c r="J107" s="182" t="n">
        <v>10</v>
      </c>
      <c r="K107" s="181" t="s">
        <v>490</v>
      </c>
      <c r="L107" s="180"/>
      <c r="M107" s="181" t="s">
        <v>488</v>
      </c>
      <c r="N107" s="181" t="s">
        <v>507</v>
      </c>
      <c r="O107" s="180" t="s">
        <v>490</v>
      </c>
      <c r="P107" s="180"/>
      <c r="Q107" s="186"/>
      <c r="R107" s="186"/>
      <c r="S107" s="187"/>
      <c r="T107" s="187"/>
      <c r="U107" s="187"/>
      <c r="V107" s="187"/>
      <c r="W107" s="187"/>
      <c r="X107" s="187"/>
      <c r="Y107" s="187"/>
      <c r="Z107" s="187"/>
      <c r="AA107" s="187"/>
      <c r="AB107" s="187"/>
      <c r="AC107" s="187"/>
      <c r="AD107" s="187"/>
      <c r="AE107" s="187"/>
      <c r="AF107" s="187"/>
      <c r="AG107" s="187"/>
      <c r="AH107" s="187"/>
      <c r="AI107" s="187"/>
    </row>
    <row r="108" customFormat="false" ht="12.75" hidden="false" customHeight="true" outlineLevel="0" collapsed="false">
      <c r="A108" s="178"/>
      <c r="B108" s="184" t="s">
        <v>508</v>
      </c>
      <c r="C108" s="180" t="s">
        <v>509</v>
      </c>
      <c r="D108" s="181" t="s">
        <v>281</v>
      </c>
      <c r="E108" s="180" t="n">
        <f aca="false">TRUNC((G108*I108)/1000,2)</f>
        <v>23.6</v>
      </c>
      <c r="F108" s="180" t="n">
        <f aca="false">TRUNC(H108*I108/1000,2)</f>
        <v>15.76</v>
      </c>
      <c r="G108" s="180" t="n">
        <v>4610</v>
      </c>
      <c r="H108" s="180" t="n">
        <v>3080</v>
      </c>
      <c r="I108" s="182" t="n">
        <v>5.12</v>
      </c>
      <c r="J108" s="182" t="n">
        <v>14.2</v>
      </c>
      <c r="K108" s="181" t="s">
        <v>490</v>
      </c>
      <c r="L108" s="180"/>
      <c r="M108" s="181" t="s">
        <v>488</v>
      </c>
      <c r="N108" s="181" t="s">
        <v>507</v>
      </c>
      <c r="O108" s="180" t="s">
        <v>490</v>
      </c>
      <c r="P108" s="180"/>
      <c r="Q108" s="186"/>
      <c r="R108" s="186"/>
      <c r="S108" s="187"/>
      <c r="T108" s="187"/>
      <c r="U108" s="187"/>
      <c r="V108" s="187"/>
      <c r="W108" s="187"/>
      <c r="X108" s="187"/>
      <c r="Y108" s="187"/>
      <c r="Z108" s="187"/>
      <c r="AA108" s="187"/>
      <c r="AB108" s="187"/>
      <c r="AC108" s="187"/>
      <c r="AD108" s="187"/>
      <c r="AE108" s="187"/>
      <c r="AF108" s="187"/>
      <c r="AG108" s="187"/>
      <c r="AH108" s="187"/>
      <c r="AI108" s="187"/>
    </row>
    <row r="109" customFormat="false" ht="12.75" hidden="false" customHeight="true" outlineLevel="0" collapsed="false">
      <c r="A109" s="178"/>
      <c r="B109" s="184" t="s">
        <v>510</v>
      </c>
      <c r="C109" s="180" t="s">
        <v>511</v>
      </c>
      <c r="D109" s="181" t="s">
        <v>281</v>
      </c>
      <c r="E109" s="180" t="n">
        <f aca="false">TRUNC((G109*I109)/1000,2)</f>
        <v>8.97</v>
      </c>
      <c r="F109" s="180" t="n">
        <f aca="false">TRUNC(H109*I109/1000,2)</f>
        <v>6.7</v>
      </c>
      <c r="G109" s="180" t="n">
        <v>1392</v>
      </c>
      <c r="H109" s="180" t="n">
        <v>1040</v>
      </c>
      <c r="I109" s="182" t="n">
        <v>6.45</v>
      </c>
      <c r="J109" s="182" t="n">
        <v>1.4</v>
      </c>
      <c r="K109" s="181" t="s">
        <v>490</v>
      </c>
      <c r="L109" s="180"/>
      <c r="M109" s="181" t="s">
        <v>488</v>
      </c>
      <c r="N109" s="181" t="s">
        <v>512</v>
      </c>
      <c r="O109" s="180" t="s">
        <v>490</v>
      </c>
      <c r="P109" s="180"/>
      <c r="Q109" s="188"/>
      <c r="R109" s="188"/>
    </row>
    <row r="110" customFormat="false" ht="12.75" hidden="false" customHeight="true" outlineLevel="0" collapsed="false">
      <c r="A110" s="178"/>
      <c r="B110" s="184" t="s">
        <v>513</v>
      </c>
      <c r="C110" s="180" t="s">
        <v>487</v>
      </c>
      <c r="D110" s="181" t="s">
        <v>281</v>
      </c>
      <c r="E110" s="180" t="n">
        <f aca="false">TRUNC((G110*I110)/1000,2)</f>
        <v>18.61</v>
      </c>
      <c r="F110" s="180" t="n">
        <f aca="false">TRUNC(H110*I110/1000,2)</f>
        <v>13.89</v>
      </c>
      <c r="G110" s="180" t="n">
        <v>3448</v>
      </c>
      <c r="H110" s="180" t="n">
        <v>2574</v>
      </c>
      <c r="I110" s="182" t="n">
        <v>5.4</v>
      </c>
      <c r="J110" s="182" t="n">
        <v>8.6</v>
      </c>
      <c r="K110" s="181" t="s">
        <v>490</v>
      </c>
      <c r="L110" s="180"/>
      <c r="M110" s="181" t="s">
        <v>488</v>
      </c>
      <c r="N110" s="181" t="s">
        <v>514</v>
      </c>
      <c r="O110" s="180" t="s">
        <v>490</v>
      </c>
      <c r="P110" s="180"/>
      <c r="Q110" s="188"/>
      <c r="R110" s="188"/>
    </row>
    <row r="111" customFormat="false" ht="12.75" hidden="false" customHeight="true" outlineLevel="0" collapsed="false">
      <c r="A111" s="178"/>
      <c r="B111" s="184" t="s">
        <v>515</v>
      </c>
      <c r="C111" s="180" t="s">
        <v>516</v>
      </c>
      <c r="D111" s="181" t="s">
        <v>281</v>
      </c>
      <c r="E111" s="180" t="n">
        <f aca="false">TRUNC((G111*I111)/1000,2)</f>
        <v>0</v>
      </c>
      <c r="F111" s="180" t="n">
        <f aca="false">TRUNC(H111*I111/1000,2)</f>
        <v>0</v>
      </c>
      <c r="G111" s="180" t="n">
        <v>4072</v>
      </c>
      <c r="H111" s="180" t="n">
        <v>2720</v>
      </c>
      <c r="I111" s="182"/>
      <c r="J111" s="182" t="n">
        <v>11</v>
      </c>
      <c r="K111" s="181" t="s">
        <v>490</v>
      </c>
      <c r="L111" s="180"/>
      <c r="M111" s="181" t="s">
        <v>488</v>
      </c>
      <c r="N111" s="181" t="s">
        <v>517</v>
      </c>
      <c r="O111" s="180" t="s">
        <v>490</v>
      </c>
      <c r="P111" s="180"/>
      <c r="Q111" s="188"/>
      <c r="R111" s="188"/>
    </row>
    <row r="112" customFormat="false" ht="12.75" hidden="false" customHeight="true" outlineLevel="0" collapsed="false">
      <c r="A112" s="178"/>
      <c r="B112" s="184" t="s">
        <v>518</v>
      </c>
      <c r="C112" s="180" t="s">
        <v>519</v>
      </c>
      <c r="D112" s="181" t="s">
        <v>281</v>
      </c>
      <c r="E112" s="180" t="n">
        <f aca="false">TRUNC((G112*I112)/1000,2)</f>
        <v>13.21</v>
      </c>
      <c r="F112" s="180" t="n">
        <f aca="false">TRUNC(H112*I112/1000,2)</f>
        <v>9.65</v>
      </c>
      <c r="G112" s="180" t="n">
        <v>2020</v>
      </c>
      <c r="H112" s="180" t="n">
        <v>1476</v>
      </c>
      <c r="I112" s="182" t="n">
        <v>6.54</v>
      </c>
      <c r="J112" s="182" t="n">
        <v>3</v>
      </c>
      <c r="K112" s="181" t="s">
        <v>490</v>
      </c>
      <c r="L112" s="180"/>
      <c r="M112" s="181" t="s">
        <v>488</v>
      </c>
      <c r="N112" s="181" t="s">
        <v>520</v>
      </c>
      <c r="O112" s="180" t="s">
        <v>490</v>
      </c>
      <c r="P112" s="180"/>
      <c r="Q112" s="188"/>
      <c r="R112" s="188"/>
    </row>
    <row r="113" customFormat="false" ht="12.75" hidden="false" customHeight="true" outlineLevel="0" collapsed="false">
      <c r="A113" s="178"/>
      <c r="B113" s="184" t="s">
        <v>521</v>
      </c>
      <c r="C113" s="180" t="s">
        <v>522</v>
      </c>
      <c r="D113" s="181" t="s">
        <v>281</v>
      </c>
      <c r="E113" s="180" t="n">
        <f aca="false">TRUNC((G113*I113)/1000,2)</f>
        <v>12.88</v>
      </c>
      <c r="F113" s="180" t="n">
        <f aca="false">TRUNC(H113*I113/1000,2)</f>
        <v>10.09</v>
      </c>
      <c r="G113" s="180" t="n">
        <v>2838</v>
      </c>
      <c r="H113" s="180" t="n">
        <v>2224</v>
      </c>
      <c r="I113" s="182" t="n">
        <v>4.54</v>
      </c>
      <c r="J113" s="182" t="n">
        <v>6</v>
      </c>
      <c r="K113" s="181" t="s">
        <v>490</v>
      </c>
      <c r="L113" s="180"/>
      <c r="M113" s="181" t="s">
        <v>488</v>
      </c>
      <c r="N113" s="181" t="s">
        <v>520</v>
      </c>
      <c r="O113" s="180" t="s">
        <v>490</v>
      </c>
      <c r="P113" s="180"/>
      <c r="Q113" s="188"/>
      <c r="R113" s="188"/>
    </row>
    <row r="114" customFormat="false" ht="12.75" hidden="false" customHeight="true" outlineLevel="0" collapsed="false">
      <c r="A114" s="178"/>
      <c r="B114" s="184" t="s">
        <v>523</v>
      </c>
      <c r="C114" s="180" t="s">
        <v>524</v>
      </c>
      <c r="D114" s="181" t="s">
        <v>281</v>
      </c>
      <c r="E114" s="180" t="n">
        <f aca="false">TRUNC((G114*I114)/1000,2)</f>
        <v>13.46</v>
      </c>
      <c r="F114" s="180" t="n">
        <f aca="false">TRUNC(H114*I114/1000,2)</f>
        <v>10.06</v>
      </c>
      <c r="G114" s="180" t="n">
        <v>3648</v>
      </c>
      <c r="H114" s="180" t="n">
        <v>2728</v>
      </c>
      <c r="I114" s="182" t="n">
        <v>3.69</v>
      </c>
      <c r="J114" s="182" t="n">
        <v>9</v>
      </c>
      <c r="K114" s="181" t="s">
        <v>490</v>
      </c>
      <c r="L114" s="180"/>
      <c r="M114" s="181" t="s">
        <v>488</v>
      </c>
      <c r="N114" s="181" t="s">
        <v>520</v>
      </c>
      <c r="O114" s="180" t="s">
        <v>490</v>
      </c>
      <c r="P114" s="180"/>
      <c r="Q114" s="188"/>
      <c r="R114" s="188"/>
    </row>
    <row r="115" customFormat="false" ht="12.75" hidden="false" customHeight="true" outlineLevel="0" collapsed="false">
      <c r="A115" s="178"/>
      <c r="B115" s="184" t="s">
        <v>525</v>
      </c>
      <c r="C115" s="180" t="s">
        <v>526</v>
      </c>
      <c r="D115" s="181" t="s">
        <v>281</v>
      </c>
      <c r="E115" s="180" t="n">
        <f aca="false">TRUNC((G115*I115)/1000,2)</f>
        <v>27.3</v>
      </c>
      <c r="F115" s="180" t="n">
        <f aca="false">TRUNC(H115*I115/1000,2)</f>
        <v>18.32</v>
      </c>
      <c r="G115" s="180" t="n">
        <v>4964</v>
      </c>
      <c r="H115" s="180" t="n">
        <v>3332</v>
      </c>
      <c r="I115" s="182" t="n">
        <v>5.5</v>
      </c>
      <c r="J115" s="182" t="n">
        <v>16</v>
      </c>
      <c r="K115" s="181" t="s">
        <v>490</v>
      </c>
      <c r="L115" s="180"/>
      <c r="M115" s="181" t="s">
        <v>488</v>
      </c>
      <c r="N115" s="181" t="s">
        <v>527</v>
      </c>
      <c r="O115" s="180" t="s">
        <v>490</v>
      </c>
      <c r="P115" s="180"/>
      <c r="Q115" s="188"/>
      <c r="R115" s="188"/>
    </row>
    <row r="116" customFormat="false" ht="12.75" hidden="false" customHeight="true" outlineLevel="0" collapsed="false">
      <c r="A116" s="178"/>
      <c r="B116" s="184" t="s">
        <v>528</v>
      </c>
      <c r="C116" s="180" t="s">
        <v>529</v>
      </c>
      <c r="D116" s="181" t="s">
        <v>281</v>
      </c>
      <c r="E116" s="180" t="n">
        <f aca="false">TRUNC((G116*I116)/1000,2)</f>
        <v>36.49</v>
      </c>
      <c r="F116" s="180" t="n">
        <f aca="false">TRUNC(H116*I116/1000,2)</f>
        <v>24.42</v>
      </c>
      <c r="G116" s="180" t="n">
        <v>4932</v>
      </c>
      <c r="H116" s="180" t="n">
        <v>3300</v>
      </c>
      <c r="I116" s="182" t="n">
        <v>7.4</v>
      </c>
      <c r="J116" s="182" t="n">
        <v>16</v>
      </c>
      <c r="K116" s="181" t="s">
        <v>490</v>
      </c>
      <c r="L116" s="180"/>
      <c r="M116" s="181" t="s">
        <v>488</v>
      </c>
      <c r="N116" s="181" t="s">
        <v>527</v>
      </c>
      <c r="O116" s="180" t="s">
        <v>490</v>
      </c>
      <c r="P116" s="180"/>
      <c r="Q116" s="188"/>
      <c r="R116" s="188"/>
    </row>
    <row r="117" customFormat="false" ht="12.75" hidden="false" customHeight="true" outlineLevel="0" collapsed="false">
      <c r="A117" s="178"/>
      <c r="B117" s="184" t="s">
        <v>530</v>
      </c>
      <c r="C117" s="180" t="s">
        <v>531</v>
      </c>
      <c r="D117" s="181" t="s">
        <v>281</v>
      </c>
      <c r="E117" s="180" t="n">
        <f aca="false">TRUNC((G117*I117)/1000,2)</f>
        <v>16.61</v>
      </c>
      <c r="F117" s="180" t="n">
        <f aca="false">TRUNC(H117*I117/1000,2)</f>
        <v>11.13</v>
      </c>
      <c r="G117" s="180" t="n">
        <v>6644</v>
      </c>
      <c r="H117" s="180" t="n">
        <v>4452</v>
      </c>
      <c r="I117" s="182" t="n">
        <v>2.5</v>
      </c>
      <c r="J117" s="182" t="n">
        <v>29</v>
      </c>
      <c r="K117" s="181" t="s">
        <v>490</v>
      </c>
      <c r="L117" s="180"/>
      <c r="M117" s="181" t="s">
        <v>488</v>
      </c>
      <c r="N117" s="181" t="s">
        <v>527</v>
      </c>
      <c r="O117" s="180" t="s">
        <v>490</v>
      </c>
      <c r="P117" s="180"/>
      <c r="Q117" s="188"/>
      <c r="R117" s="188"/>
    </row>
    <row r="118" customFormat="false" ht="12.75" hidden="false" customHeight="true" outlineLevel="0" collapsed="false">
      <c r="A118" s="178"/>
      <c r="B118" s="184" t="s">
        <v>25</v>
      </c>
      <c r="C118" s="180" t="s">
        <v>532</v>
      </c>
      <c r="D118" s="181" t="s">
        <v>281</v>
      </c>
      <c r="E118" s="180" t="n">
        <f aca="false">TRUNC((G118*I118)/1000,2)</f>
        <v>13.3</v>
      </c>
      <c r="F118" s="180" t="n">
        <f aca="false">TRUNC(H118*I118/1000,2)</f>
        <v>8.86</v>
      </c>
      <c r="G118" s="180" t="n">
        <v>5544</v>
      </c>
      <c r="H118" s="180" t="n">
        <v>3694</v>
      </c>
      <c r="I118" s="182" t="n">
        <v>2.4</v>
      </c>
      <c r="J118" s="182" t="n">
        <v>20</v>
      </c>
      <c r="K118" s="181" t="s">
        <v>533</v>
      </c>
      <c r="L118" s="180"/>
      <c r="M118" s="181" t="s">
        <v>534</v>
      </c>
      <c r="N118" s="181" t="s">
        <v>535</v>
      </c>
      <c r="O118" s="180" t="s">
        <v>536</v>
      </c>
      <c r="P118" s="180"/>
    </row>
    <row r="119" customFormat="false" ht="12.75" hidden="false" customHeight="true" outlineLevel="0" collapsed="false">
      <c r="A119" s="178"/>
      <c r="B119" s="184" t="s">
        <v>537</v>
      </c>
      <c r="C119" s="180" t="s">
        <v>490</v>
      </c>
      <c r="D119" s="181" t="s">
        <v>281</v>
      </c>
      <c r="E119" s="180" t="n">
        <f aca="false">TRUNC((G119*I119)/1000,2)</f>
        <v>17.69</v>
      </c>
      <c r="F119" s="180" t="n">
        <f aca="false">TRUNC(H119*I119/1000,2)</f>
        <v>13.38</v>
      </c>
      <c r="G119" s="180" t="n">
        <v>4656</v>
      </c>
      <c r="H119" s="180" t="n">
        <v>3522</v>
      </c>
      <c r="I119" s="182" t="n">
        <v>3.8</v>
      </c>
      <c r="J119" s="182" t="n">
        <v>16</v>
      </c>
      <c r="K119" s="181" t="s">
        <v>538</v>
      </c>
      <c r="L119" s="180"/>
      <c r="M119" s="181" t="s">
        <v>539</v>
      </c>
      <c r="N119" s="181" t="s">
        <v>540</v>
      </c>
      <c r="O119" s="180" t="s">
        <v>490</v>
      </c>
      <c r="P119" s="180"/>
    </row>
    <row r="120" customFormat="false" ht="12.75" hidden="false" customHeight="true" outlineLevel="0" collapsed="false">
      <c r="A120" s="178"/>
      <c r="B120" s="184" t="s">
        <v>541</v>
      </c>
      <c r="C120" s="180" t="s">
        <v>542</v>
      </c>
      <c r="D120" s="181" t="s">
        <v>281</v>
      </c>
      <c r="E120" s="180" t="n">
        <f aca="false">TRUNC((G120*I120)/1000,2)</f>
        <v>20.32</v>
      </c>
      <c r="F120" s="180" t="n">
        <f aca="false">TRUNC(H120*I120/1000,2)</f>
        <v>13.64</v>
      </c>
      <c r="G120" s="180" t="n">
        <v>4164</v>
      </c>
      <c r="H120" s="180" t="n">
        <v>2796</v>
      </c>
      <c r="I120" s="182" t="n">
        <v>4.88</v>
      </c>
      <c r="J120" s="182" t="n">
        <v>11</v>
      </c>
      <c r="K120" s="181" t="s">
        <v>543</v>
      </c>
      <c r="L120" s="180"/>
      <c r="M120" s="181" t="s">
        <v>544</v>
      </c>
      <c r="N120" s="181" t="s">
        <v>545</v>
      </c>
      <c r="O120" s="180" t="s">
        <v>546</v>
      </c>
      <c r="P120" s="180"/>
    </row>
    <row r="121" customFormat="false" ht="12.75" hidden="false" customHeight="true" outlineLevel="0" collapsed="false">
      <c r="A121" s="178"/>
      <c r="B121" s="184" t="s">
        <v>547</v>
      </c>
      <c r="C121" s="180" t="s">
        <v>548</v>
      </c>
      <c r="D121" s="181" t="s">
        <v>281</v>
      </c>
      <c r="E121" s="180" t="n">
        <f aca="false">TRUNC((G121*I121)/1000,2)</f>
        <v>23.76</v>
      </c>
      <c r="F121" s="180" t="n">
        <f aca="false">TRUNC(H121*I121/1000,2)</f>
        <v>15.78</v>
      </c>
      <c r="G121" s="180" t="n">
        <v>4952</v>
      </c>
      <c r="H121" s="180" t="n">
        <v>3288</v>
      </c>
      <c r="I121" s="182" t="n">
        <v>4.8</v>
      </c>
      <c r="J121" s="182" t="n">
        <v>16</v>
      </c>
      <c r="K121" s="181" t="s">
        <v>549</v>
      </c>
      <c r="L121" s="180"/>
      <c r="M121" s="181" t="s">
        <v>550</v>
      </c>
      <c r="N121" s="181" t="s">
        <v>551</v>
      </c>
      <c r="O121" s="180" t="s">
        <v>552</v>
      </c>
      <c r="P121" s="180"/>
    </row>
    <row r="122" customFormat="false" ht="12.75" hidden="false" customHeight="true" outlineLevel="0" collapsed="false">
      <c r="A122" s="178"/>
      <c r="B122" s="184" t="s">
        <v>553</v>
      </c>
      <c r="C122" s="180" t="s">
        <v>554</v>
      </c>
      <c r="D122" s="181" t="s">
        <v>281</v>
      </c>
      <c r="E122" s="180" t="n">
        <f aca="false">TRUNC((G122*I122)/1000,2)</f>
        <v>23.55</v>
      </c>
      <c r="F122" s="180" t="n">
        <f aca="false">TRUNC(H122*I122/1000,2)</f>
        <v>15.73</v>
      </c>
      <c r="G122" s="180" t="n">
        <v>6024</v>
      </c>
      <c r="H122" s="180" t="n">
        <v>4024</v>
      </c>
      <c r="I122" s="182" t="n">
        <v>3.91</v>
      </c>
      <c r="J122" s="182" t="n">
        <v>24</v>
      </c>
      <c r="K122" s="181" t="s">
        <v>555</v>
      </c>
      <c r="L122" s="180"/>
      <c r="M122" s="181" t="s">
        <v>550</v>
      </c>
      <c r="N122" s="181" t="s">
        <v>556</v>
      </c>
      <c r="O122" s="180" t="s">
        <v>490</v>
      </c>
      <c r="P122" s="180"/>
    </row>
    <row r="123" customFormat="false" ht="12.75" hidden="false" customHeight="true" outlineLevel="0" collapsed="false">
      <c r="A123" s="178"/>
      <c r="B123" s="184" t="s">
        <v>557</v>
      </c>
      <c r="C123" s="180" t="s">
        <v>558</v>
      </c>
      <c r="D123" s="181" t="s">
        <v>281</v>
      </c>
      <c r="E123" s="180" t="n">
        <f aca="false">TRUNC((G123*I123)/1000,2)</f>
        <v>36.03</v>
      </c>
      <c r="F123" s="180" t="n">
        <f aca="false">TRUNC(H123*I123/1000,2)</f>
        <v>24.04</v>
      </c>
      <c r="G123" s="180" t="n">
        <v>6036</v>
      </c>
      <c r="H123" s="180" t="n">
        <v>4028</v>
      </c>
      <c r="I123" s="182" t="n">
        <v>5.97</v>
      </c>
      <c r="J123" s="182" t="n">
        <v>24</v>
      </c>
      <c r="K123" s="181" t="s">
        <v>559</v>
      </c>
      <c r="L123" s="180"/>
      <c r="M123" s="181" t="s">
        <v>560</v>
      </c>
      <c r="N123" s="181" t="s">
        <v>561</v>
      </c>
      <c r="O123" s="180" t="s">
        <v>562</v>
      </c>
      <c r="P123" s="180"/>
    </row>
    <row r="124" customFormat="false" ht="12.75" hidden="false" customHeight="true" outlineLevel="0" collapsed="false">
      <c r="A124" s="178"/>
      <c r="B124" s="184" t="s">
        <v>563</v>
      </c>
      <c r="C124" s="180" t="s">
        <v>564</v>
      </c>
      <c r="D124" s="181" t="s">
        <v>281</v>
      </c>
      <c r="E124" s="180" t="n">
        <f aca="false">TRUNC((G124*I124)/1000,2)</f>
        <v>35.99</v>
      </c>
      <c r="F124" s="180" t="n">
        <f aca="false">TRUNC(H124*I124/1000,2)</f>
        <v>24.09</v>
      </c>
      <c r="G124" s="180" t="n">
        <v>7376</v>
      </c>
      <c r="H124" s="180" t="n">
        <v>4938</v>
      </c>
      <c r="I124" s="182" t="n">
        <v>4.88</v>
      </c>
      <c r="J124" s="182" t="n">
        <v>36</v>
      </c>
      <c r="K124" s="181" t="s">
        <v>565</v>
      </c>
      <c r="L124" s="180"/>
      <c r="M124" s="181" t="s">
        <v>560</v>
      </c>
      <c r="N124" s="181" t="s">
        <v>566</v>
      </c>
      <c r="O124" s="180" t="s">
        <v>567</v>
      </c>
      <c r="P124" s="180"/>
    </row>
    <row r="125" customFormat="false" ht="12.75" hidden="false" customHeight="true" outlineLevel="0" collapsed="false">
      <c r="A125" s="178"/>
      <c r="B125" s="184" t="s">
        <v>568</v>
      </c>
      <c r="C125" s="180" t="s">
        <v>569</v>
      </c>
      <c r="D125" s="181" t="s">
        <v>281</v>
      </c>
      <c r="E125" s="180" t="n">
        <f aca="false">TRUNC((G125*I125)/1000,2)</f>
        <v>23.76</v>
      </c>
      <c r="F125" s="180" t="n">
        <f aca="false">TRUNC(H125*I125/1000,2)</f>
        <v>15.78</v>
      </c>
      <c r="G125" s="180" t="n">
        <v>4952</v>
      </c>
      <c r="H125" s="180" t="n">
        <v>3288</v>
      </c>
      <c r="I125" s="182" t="n">
        <v>4.8</v>
      </c>
      <c r="J125" s="182" t="n">
        <v>16</v>
      </c>
      <c r="K125" s="181" t="s">
        <v>570</v>
      </c>
      <c r="L125" s="180"/>
      <c r="M125" s="181" t="s">
        <v>571</v>
      </c>
      <c r="N125" s="181" t="s">
        <v>527</v>
      </c>
      <c r="O125" s="180" t="s">
        <v>490</v>
      </c>
      <c r="P125" s="180"/>
    </row>
    <row r="126" customFormat="false" ht="12.75" hidden="false" customHeight="true" outlineLevel="0" collapsed="false">
      <c r="A126" s="178"/>
      <c r="B126" s="184" t="s">
        <v>572</v>
      </c>
      <c r="C126" s="180" t="s">
        <v>573</v>
      </c>
      <c r="D126" s="181" t="s">
        <v>281</v>
      </c>
      <c r="E126" s="180" t="n">
        <f aca="false">TRUNC((G126*I126)/1000,2)</f>
        <v>11.25</v>
      </c>
      <c r="F126" s="180" t="n">
        <f aca="false">TRUNC(H126*I126/1000,2)</f>
        <v>7.03</v>
      </c>
      <c r="G126" s="180" t="n">
        <v>1920</v>
      </c>
      <c r="H126" s="180" t="n">
        <v>1200</v>
      </c>
      <c r="I126" s="182" t="n">
        <v>5.86</v>
      </c>
      <c r="J126" s="182" t="n">
        <v>2</v>
      </c>
      <c r="K126" s="181" t="s">
        <v>574</v>
      </c>
      <c r="L126" s="180"/>
      <c r="M126" s="181" t="s">
        <v>539</v>
      </c>
      <c r="N126" s="181" t="s">
        <v>575</v>
      </c>
      <c r="O126" s="180" t="s">
        <v>490</v>
      </c>
      <c r="P126" s="180"/>
    </row>
    <row r="127" customFormat="false" ht="12.75" hidden="false" customHeight="true" outlineLevel="0" collapsed="false">
      <c r="A127" s="178"/>
      <c r="B127" s="184" t="s">
        <v>576</v>
      </c>
      <c r="C127" s="180" t="s">
        <v>577</v>
      </c>
      <c r="D127" s="181" t="s">
        <v>281</v>
      </c>
      <c r="E127" s="180" t="n">
        <f aca="false">TRUNC((G127*I127)/1000,2)</f>
        <v>7.37</v>
      </c>
      <c r="F127" s="180" t="n">
        <f aca="false">TRUNC(H127*I127/1000,2)</f>
        <v>4.91</v>
      </c>
      <c r="G127" s="180" t="n">
        <v>3072</v>
      </c>
      <c r="H127" s="180" t="n">
        <v>2048</v>
      </c>
      <c r="I127" s="182" t="n">
        <v>2.4</v>
      </c>
      <c r="J127" s="182" t="n">
        <v>6</v>
      </c>
      <c r="K127" s="181" t="s">
        <v>578</v>
      </c>
      <c r="L127" s="180"/>
      <c r="M127" s="181" t="s">
        <v>544</v>
      </c>
      <c r="N127" s="181" t="s">
        <v>579</v>
      </c>
      <c r="O127" s="180" t="s">
        <v>490</v>
      </c>
      <c r="P127" s="180"/>
    </row>
    <row r="128" customFormat="false" ht="12.75" hidden="false" customHeight="true" outlineLevel="0" collapsed="false">
      <c r="A128" s="178"/>
      <c r="B128" s="184" t="s">
        <v>580</v>
      </c>
      <c r="C128" s="180" t="s">
        <v>581</v>
      </c>
      <c r="D128" s="181" t="s">
        <v>281</v>
      </c>
      <c r="E128" s="180" t="n">
        <f aca="false">TRUNC((G128*I128)/1000,2)</f>
        <v>5.56</v>
      </c>
      <c r="F128" s="180" t="n">
        <f aca="false">TRUNC(H128*I128/1000,2)</f>
        <v>3.13</v>
      </c>
      <c r="G128" s="180" t="n">
        <v>1920</v>
      </c>
      <c r="H128" s="180" t="n">
        <v>1080</v>
      </c>
      <c r="I128" s="182" t="n">
        <v>2.9</v>
      </c>
      <c r="J128" s="182" t="n">
        <v>2</v>
      </c>
      <c r="K128" s="181" t="s">
        <v>582</v>
      </c>
      <c r="L128" s="180"/>
      <c r="M128" s="181" t="s">
        <v>539</v>
      </c>
      <c r="N128" s="181" t="s">
        <v>583</v>
      </c>
      <c r="O128" s="180" t="s">
        <v>490</v>
      </c>
      <c r="P128" s="180"/>
    </row>
    <row r="129" customFormat="false" ht="12.75" hidden="false" customHeight="true" outlineLevel="0" collapsed="false">
      <c r="A129" s="178"/>
      <c r="B129" s="184" t="s">
        <v>584</v>
      </c>
      <c r="C129" s="180" t="s">
        <v>585</v>
      </c>
      <c r="D129" s="181" t="s">
        <v>281</v>
      </c>
      <c r="E129" s="180" t="n">
        <f aca="false">TRUNC((G129*I129)/1000,2)</f>
        <v>4.8</v>
      </c>
      <c r="F129" s="180" t="n">
        <f aca="false">TRUNC(H129*I129/1000,2)</f>
        <v>3.6</v>
      </c>
      <c r="G129" s="180" t="n">
        <v>1280</v>
      </c>
      <c r="H129" s="180" t="n">
        <v>960</v>
      </c>
      <c r="I129" s="182" t="n">
        <v>3.75</v>
      </c>
      <c r="J129" s="182" t="n">
        <v>1.2</v>
      </c>
      <c r="K129" s="181" t="s">
        <v>586</v>
      </c>
      <c r="L129" s="180"/>
      <c r="M129" s="181" t="s">
        <v>539</v>
      </c>
      <c r="N129" s="181" t="s">
        <v>587</v>
      </c>
      <c r="O129" s="180" t="s">
        <v>490</v>
      </c>
      <c r="P129" s="180"/>
    </row>
    <row r="130" customFormat="false" ht="12.75" hidden="false" customHeight="true" outlineLevel="0" collapsed="false">
      <c r="A130" s="178"/>
      <c r="B130" s="184" t="s">
        <v>588</v>
      </c>
      <c r="C130" s="180" t="s">
        <v>581</v>
      </c>
      <c r="D130" s="181" t="s">
        <v>281</v>
      </c>
      <c r="E130" s="180" t="n">
        <f aca="false">TRUNC((G130*I130)/1000,2)</f>
        <v>5.56</v>
      </c>
      <c r="F130" s="180" t="n">
        <f aca="false">TRUNC(H130*I130/1000,2)</f>
        <v>3.13</v>
      </c>
      <c r="G130" s="180" t="n">
        <v>1920</v>
      </c>
      <c r="H130" s="180" t="n">
        <v>1080</v>
      </c>
      <c r="I130" s="182" t="n">
        <v>2.9</v>
      </c>
      <c r="J130" s="182" t="n">
        <v>2</v>
      </c>
      <c r="K130" s="181" t="s">
        <v>582</v>
      </c>
      <c r="L130" s="180"/>
      <c r="M130" s="181" t="s">
        <v>539</v>
      </c>
      <c r="N130" s="181" t="s">
        <v>583</v>
      </c>
      <c r="O130" s="180" t="s">
        <v>490</v>
      </c>
      <c r="P130" s="180"/>
    </row>
    <row r="131" customFormat="false" ht="12.75" hidden="false" customHeight="true" outlineLevel="0" collapsed="false">
      <c r="A131" s="178"/>
      <c r="B131" s="184" t="s">
        <v>589</v>
      </c>
      <c r="C131" s="180" t="s">
        <v>577</v>
      </c>
      <c r="D131" s="181" t="s">
        <v>281</v>
      </c>
      <c r="E131" s="180" t="n">
        <f aca="false">TRUNC((G131*I131)/1000,2)</f>
        <v>7.37</v>
      </c>
      <c r="F131" s="180" t="n">
        <f aca="false">TRUNC(H131*I131/1000,2)</f>
        <v>4.91</v>
      </c>
      <c r="G131" s="180" t="n">
        <v>3072</v>
      </c>
      <c r="H131" s="180" t="n">
        <v>2048</v>
      </c>
      <c r="I131" s="182" t="n">
        <v>2.4</v>
      </c>
      <c r="J131" s="182" t="n">
        <v>6</v>
      </c>
      <c r="K131" s="181" t="s">
        <v>578</v>
      </c>
      <c r="L131" s="180"/>
      <c r="M131" s="181" t="s">
        <v>544</v>
      </c>
      <c r="N131" s="181" t="s">
        <v>579</v>
      </c>
      <c r="O131" s="180" t="s">
        <v>490</v>
      </c>
      <c r="P131" s="180"/>
    </row>
    <row r="132" customFormat="false" ht="12.75" hidden="false" customHeight="true" outlineLevel="0" collapsed="false">
      <c r="A132" s="178"/>
      <c r="B132" s="184" t="s">
        <v>590</v>
      </c>
      <c r="C132" s="180" t="s">
        <v>573</v>
      </c>
      <c r="D132" s="181" t="s">
        <v>281</v>
      </c>
      <c r="E132" s="180" t="n">
        <f aca="false">TRUNC((G132*I132)/1000,2)</f>
        <v>11.25</v>
      </c>
      <c r="F132" s="180" t="n">
        <f aca="false">TRUNC(H132*I132/1000,2)</f>
        <v>7.03</v>
      </c>
      <c r="G132" s="180" t="n">
        <v>1920</v>
      </c>
      <c r="H132" s="180" t="n">
        <v>1200</v>
      </c>
      <c r="I132" s="182" t="n">
        <v>5.86</v>
      </c>
      <c r="J132" s="182" t="n">
        <v>2</v>
      </c>
      <c r="K132" s="181" t="s">
        <v>574</v>
      </c>
      <c r="L132" s="180"/>
      <c r="M132" s="181" t="s">
        <v>539</v>
      </c>
      <c r="N132" s="181" t="s">
        <v>575</v>
      </c>
      <c r="O132" s="180" t="s">
        <v>490</v>
      </c>
      <c r="P132" s="180"/>
    </row>
    <row r="133" customFormat="false" ht="12.75" hidden="false" customHeight="true" outlineLevel="0" collapsed="false">
      <c r="A133" s="178"/>
      <c r="B133" s="184" t="s">
        <v>591</v>
      </c>
      <c r="C133" s="180" t="s">
        <v>592</v>
      </c>
      <c r="D133" s="181" t="s">
        <v>281</v>
      </c>
      <c r="E133" s="180" t="n">
        <f aca="false">TRUNC((G133*I133)/1000,2)</f>
        <v>7.2</v>
      </c>
      <c r="F133" s="180" t="n">
        <f aca="false">TRUNC(H133*I133/1000,2)</f>
        <v>4.5</v>
      </c>
      <c r="G133" s="180" t="n">
        <v>1920</v>
      </c>
      <c r="H133" s="180" t="n">
        <v>1200</v>
      </c>
      <c r="I133" s="182" t="n">
        <v>3.75</v>
      </c>
      <c r="J133" s="182" t="n">
        <v>2</v>
      </c>
      <c r="K133" s="181" t="s">
        <v>593</v>
      </c>
      <c r="L133" s="180"/>
      <c r="M133" s="181" t="s">
        <v>539</v>
      </c>
      <c r="N133" s="181" t="s">
        <v>594</v>
      </c>
      <c r="O133" s="180" t="s">
        <v>490</v>
      </c>
      <c r="P133" s="180"/>
    </row>
    <row r="134" customFormat="false" ht="12.75" hidden="false" customHeight="true" outlineLevel="0" collapsed="false">
      <c r="A134" s="178"/>
      <c r="B134" s="184" t="s">
        <v>595</v>
      </c>
      <c r="C134" s="180" t="s">
        <v>585</v>
      </c>
      <c r="D134" s="181" t="s">
        <v>281</v>
      </c>
      <c r="E134" s="180" t="n">
        <f aca="false">TRUNC((G134*I134)/1000,2)</f>
        <v>4.8</v>
      </c>
      <c r="F134" s="180" t="n">
        <f aca="false">TRUNC(H134*I134/1000,2)</f>
        <v>3.6</v>
      </c>
      <c r="G134" s="180" t="n">
        <v>1280</v>
      </c>
      <c r="H134" s="180" t="n">
        <v>960</v>
      </c>
      <c r="I134" s="182" t="n">
        <v>3.75</v>
      </c>
      <c r="J134" s="182" t="n">
        <v>1.2</v>
      </c>
      <c r="K134" s="181" t="s">
        <v>586</v>
      </c>
      <c r="L134" s="180"/>
      <c r="M134" s="181" t="s">
        <v>539</v>
      </c>
      <c r="N134" s="181" t="s">
        <v>587</v>
      </c>
      <c r="O134" s="180" t="s">
        <v>490</v>
      </c>
      <c r="P134" s="180"/>
    </row>
    <row r="135" customFormat="false" ht="12.75" hidden="false" customHeight="true" outlineLevel="0" collapsed="false">
      <c r="A135" s="178"/>
      <c r="B135" s="184" t="s">
        <v>596</v>
      </c>
      <c r="C135" s="180" t="s">
        <v>597</v>
      </c>
      <c r="D135" s="181" t="s">
        <v>281</v>
      </c>
      <c r="E135" s="180" t="n">
        <f aca="false">TRUNC((G135*I135)/1000,2)</f>
        <v>4.8</v>
      </c>
      <c r="F135" s="180" t="n">
        <f aca="false">TRUNC(H135*I135/1000,2)</f>
        <v>3.6</v>
      </c>
      <c r="G135" s="180" t="n">
        <v>1280</v>
      </c>
      <c r="H135" s="180" t="n">
        <v>960</v>
      </c>
      <c r="I135" s="182" t="n">
        <v>3.75</v>
      </c>
      <c r="J135" s="182" t="n">
        <v>1.2</v>
      </c>
      <c r="K135" s="181" t="s">
        <v>598</v>
      </c>
      <c r="L135" s="180"/>
      <c r="M135" s="181" t="s">
        <v>539</v>
      </c>
      <c r="N135" s="181" t="s">
        <v>527</v>
      </c>
      <c r="O135" s="180" t="s">
        <v>490</v>
      </c>
      <c r="P135" s="180"/>
    </row>
    <row r="136" customFormat="false" ht="12.75" hidden="false" customHeight="true" outlineLevel="0" collapsed="false">
      <c r="A136" s="178"/>
      <c r="B136" s="184" t="s">
        <v>599</v>
      </c>
      <c r="C136" s="180" t="s">
        <v>600</v>
      </c>
      <c r="D136" s="181" t="s">
        <v>281</v>
      </c>
      <c r="E136" s="180" t="n">
        <f aca="false">TRUNC((G136*I136)/1000,2)</f>
        <v>6.65</v>
      </c>
      <c r="F136" s="180" t="n">
        <f aca="false">TRUNC(H136*I136/1000,2)</f>
        <v>5.32</v>
      </c>
      <c r="G136" s="180" t="n">
        <v>1280</v>
      </c>
      <c r="H136" s="180" t="n">
        <v>1024</v>
      </c>
      <c r="I136" s="182" t="n">
        <v>5.2</v>
      </c>
      <c r="J136" s="182" t="n">
        <v>1.3</v>
      </c>
      <c r="K136" s="181" t="s">
        <v>601</v>
      </c>
      <c r="L136" s="180"/>
      <c r="M136" s="181" t="s">
        <v>602</v>
      </c>
      <c r="N136" s="181" t="s">
        <v>527</v>
      </c>
      <c r="O136" s="180" t="s">
        <v>490</v>
      </c>
      <c r="P136" s="180"/>
    </row>
    <row r="137" customFormat="false" ht="12.75" hidden="false" customHeight="true" outlineLevel="0" collapsed="false">
      <c r="A137" s="178"/>
      <c r="B137" s="184" t="s">
        <v>603</v>
      </c>
      <c r="C137" s="180" t="s">
        <v>604</v>
      </c>
      <c r="D137" s="181" t="s">
        <v>281</v>
      </c>
      <c r="E137" s="180" t="n">
        <f aca="false">TRUNC((G137*I137)/1000,2)</f>
        <v>5.7</v>
      </c>
      <c r="F137" s="180" t="n">
        <f aca="false">TRUNC(H137*I137/1000,2)</f>
        <v>4.27</v>
      </c>
      <c r="G137" s="180" t="n">
        <v>2592</v>
      </c>
      <c r="H137" s="180" t="n">
        <v>1944</v>
      </c>
      <c r="I137" s="182" t="n">
        <v>2.2</v>
      </c>
      <c r="J137" s="182" t="n">
        <v>5</v>
      </c>
      <c r="K137" s="181" t="s">
        <v>605</v>
      </c>
      <c r="L137" s="180"/>
      <c r="M137" s="181" t="s">
        <v>539</v>
      </c>
      <c r="N137" s="181" t="s">
        <v>527</v>
      </c>
      <c r="O137" s="180" t="s">
        <v>490</v>
      </c>
      <c r="P137" s="180"/>
    </row>
    <row r="138" customFormat="false" ht="12.75" hidden="false" customHeight="true" outlineLevel="0" collapsed="false">
      <c r="A138" s="178"/>
      <c r="B138" s="184" t="s">
        <v>606</v>
      </c>
      <c r="C138" s="180" t="s">
        <v>607</v>
      </c>
      <c r="D138" s="181" t="s">
        <v>281</v>
      </c>
      <c r="E138" s="180" t="n">
        <f aca="false">TRUNC((G138*I138)/1000,2)</f>
        <v>5.7</v>
      </c>
      <c r="F138" s="180" t="n">
        <f aca="false">TRUNC(H138*I138/1000,2)</f>
        <v>4.27</v>
      </c>
      <c r="G138" s="180" t="n">
        <v>2592</v>
      </c>
      <c r="H138" s="180" t="n">
        <v>1944</v>
      </c>
      <c r="I138" s="182" t="n">
        <v>2.2</v>
      </c>
      <c r="J138" s="182" t="n">
        <v>5</v>
      </c>
      <c r="K138" s="181" t="s">
        <v>605</v>
      </c>
      <c r="L138" s="180"/>
      <c r="M138" s="181" t="s">
        <v>539</v>
      </c>
      <c r="N138" s="181" t="s">
        <v>527</v>
      </c>
      <c r="O138" s="180" t="s">
        <v>490</v>
      </c>
      <c r="P138" s="180"/>
    </row>
    <row r="139" customFormat="false" ht="12.75" hidden="false" customHeight="true" outlineLevel="0" collapsed="false">
      <c r="A139" s="178"/>
      <c r="B139" s="184" t="s">
        <v>608</v>
      </c>
      <c r="C139" s="180" t="s">
        <v>609</v>
      </c>
      <c r="D139" s="181" t="s">
        <v>281</v>
      </c>
      <c r="E139" s="180" t="n">
        <f aca="false">TRUNC((G139*I139)/1000,2)</f>
        <v>4.07</v>
      </c>
      <c r="F139" s="180" t="n">
        <f aca="false">TRUNC(H139*I139/1000,2)</f>
        <v>3.13</v>
      </c>
      <c r="G139" s="180" t="n">
        <v>728</v>
      </c>
      <c r="H139" s="180" t="n">
        <v>560</v>
      </c>
      <c r="I139" s="182" t="n">
        <v>5.6</v>
      </c>
      <c r="J139" s="182" t="n">
        <v>0.4</v>
      </c>
      <c r="K139" s="181" t="s">
        <v>610</v>
      </c>
      <c r="L139" s="180"/>
      <c r="M139" s="181" t="s">
        <v>602</v>
      </c>
      <c r="N139" s="181" t="s">
        <v>527</v>
      </c>
      <c r="O139" s="180" t="s">
        <v>490</v>
      </c>
      <c r="P139" s="180"/>
    </row>
    <row r="140" customFormat="false" ht="12.75" hidden="false" customHeight="true" outlineLevel="0" collapsed="false">
      <c r="A140" s="178"/>
      <c r="B140" s="184" t="s">
        <v>611</v>
      </c>
      <c r="C140" s="180" t="s">
        <v>597</v>
      </c>
      <c r="D140" s="181" t="s">
        <v>281</v>
      </c>
      <c r="E140" s="180" t="n">
        <f aca="false">TRUNC((G140*I140)/1000,2)</f>
        <v>4.8</v>
      </c>
      <c r="F140" s="180" t="n">
        <f aca="false">TRUNC(H140*I140/1000,2)</f>
        <v>3.6</v>
      </c>
      <c r="G140" s="180" t="n">
        <v>1280</v>
      </c>
      <c r="H140" s="180" t="n">
        <v>960</v>
      </c>
      <c r="I140" s="182" t="n">
        <v>3.75</v>
      </c>
      <c r="J140" s="182" t="n">
        <v>1.2</v>
      </c>
      <c r="K140" s="181" t="s">
        <v>598</v>
      </c>
      <c r="L140" s="180"/>
      <c r="M140" s="181" t="s">
        <v>539</v>
      </c>
      <c r="N140" s="181" t="s">
        <v>612</v>
      </c>
      <c r="O140" s="180" t="s">
        <v>490</v>
      </c>
      <c r="P140" s="180"/>
    </row>
    <row r="141" customFormat="false" ht="12.75" hidden="false" customHeight="true" outlineLevel="0" collapsed="false">
      <c r="A141" s="178"/>
      <c r="B141" s="184" t="s">
        <v>613</v>
      </c>
      <c r="C141" s="180" t="s">
        <v>577</v>
      </c>
      <c r="D141" s="181" t="s">
        <v>281</v>
      </c>
      <c r="E141" s="180" t="n">
        <f aca="false">TRUNC((G141*I141)/1000,2)</f>
        <v>7.37</v>
      </c>
      <c r="F141" s="180" t="n">
        <f aca="false">TRUNC(H141*I141/1000,2)</f>
        <v>4.91</v>
      </c>
      <c r="G141" s="180" t="n">
        <v>3072</v>
      </c>
      <c r="H141" s="180" t="n">
        <v>2048</v>
      </c>
      <c r="I141" s="182" t="n">
        <v>2.4</v>
      </c>
      <c r="J141" s="182" t="n">
        <v>6</v>
      </c>
      <c r="K141" s="181" t="s">
        <v>614</v>
      </c>
      <c r="L141" s="180"/>
      <c r="M141" s="181" t="s">
        <v>544</v>
      </c>
      <c r="N141" s="181" t="s">
        <v>615</v>
      </c>
      <c r="O141" s="180" t="s">
        <v>490</v>
      </c>
      <c r="P141" s="180"/>
    </row>
    <row r="142" customFormat="false" ht="12.75" hidden="false" customHeight="true" outlineLevel="0" collapsed="false">
      <c r="A142" s="178"/>
      <c r="B142" s="184" t="s">
        <v>616</v>
      </c>
      <c r="C142" s="180" t="s">
        <v>617</v>
      </c>
      <c r="D142" s="181" t="s">
        <v>281</v>
      </c>
      <c r="E142" s="180" t="n">
        <f aca="false">TRUNC((G142*I142)/1000,2)</f>
        <v>22.52</v>
      </c>
      <c r="F142" s="180" t="n">
        <f aca="false">TRUNC(H142*I142/1000,2)</f>
        <v>22.52</v>
      </c>
      <c r="G142" s="180" t="n">
        <v>2048</v>
      </c>
      <c r="H142" s="180" t="n">
        <v>2048</v>
      </c>
      <c r="I142" s="182" t="n">
        <v>11</v>
      </c>
      <c r="J142" s="182" t="n">
        <v>4</v>
      </c>
      <c r="K142" s="181" t="s">
        <v>618</v>
      </c>
      <c r="L142" s="180"/>
      <c r="M142" s="181" t="s">
        <v>619</v>
      </c>
      <c r="N142" s="181" t="s">
        <v>620</v>
      </c>
      <c r="O142" s="180" t="s">
        <v>490</v>
      </c>
      <c r="P142" s="180"/>
    </row>
    <row r="143" customFormat="false" ht="12.75" hidden="false" customHeight="true" outlineLevel="0" collapsed="false">
      <c r="A143" s="178"/>
      <c r="B143" s="184" t="s">
        <v>621</v>
      </c>
      <c r="C143" s="180" t="s">
        <v>622</v>
      </c>
      <c r="D143" s="181" t="s">
        <v>281</v>
      </c>
      <c r="E143" s="180" t="n">
        <f aca="false">TRUNC((G143*I143)/1000,2)</f>
        <v>13.31</v>
      </c>
      <c r="F143" s="180" t="n">
        <f aca="false">TRUNC(H143*I143/1000,2)</f>
        <v>13.31</v>
      </c>
      <c r="G143" s="180" t="n">
        <v>2048</v>
      </c>
      <c r="H143" s="180" t="n">
        <v>2048</v>
      </c>
      <c r="I143" s="182" t="n">
        <v>6.5</v>
      </c>
      <c r="J143" s="182" t="n">
        <v>4</v>
      </c>
      <c r="K143" s="181" t="s">
        <v>623</v>
      </c>
      <c r="L143" s="180"/>
      <c r="M143" s="181" t="s">
        <v>624</v>
      </c>
      <c r="N143" s="181" t="s">
        <v>625</v>
      </c>
      <c r="O143" s="180" t="s">
        <v>490</v>
      </c>
      <c r="P143" s="180"/>
    </row>
    <row r="144" customFormat="false" ht="12.75" hidden="false" customHeight="true" outlineLevel="0" collapsed="false">
      <c r="A144" s="178"/>
      <c r="B144" s="184" t="s">
        <v>626</v>
      </c>
      <c r="C144" s="180" t="s">
        <v>627</v>
      </c>
      <c r="D144" s="181" t="s">
        <v>281</v>
      </c>
      <c r="E144" s="180" t="n">
        <f aca="false">TRUNC((G144*I144)/1000,2)</f>
        <v>53.36</v>
      </c>
      <c r="F144" s="180" t="n">
        <f aca="false">TRUNC(H144*I144/1000,2)</f>
        <v>40</v>
      </c>
      <c r="G144" s="180" t="n">
        <v>14192</v>
      </c>
      <c r="H144" s="180" t="n">
        <v>10640</v>
      </c>
      <c r="I144" s="182" t="n">
        <v>3.76</v>
      </c>
      <c r="J144" s="182" t="n">
        <v>151</v>
      </c>
      <c r="K144" s="181" t="s">
        <v>628</v>
      </c>
      <c r="L144" s="180"/>
      <c r="M144" s="181" t="s">
        <v>488</v>
      </c>
      <c r="N144" s="181" t="s">
        <v>490</v>
      </c>
      <c r="O144" s="180" t="s">
        <v>490</v>
      </c>
      <c r="P144" s="180"/>
    </row>
    <row r="145" customFormat="false" ht="12.75" hidden="false" customHeight="true" outlineLevel="0" collapsed="false">
      <c r="A145" s="178"/>
      <c r="B145" s="184" t="s">
        <v>629</v>
      </c>
      <c r="C145" s="180" t="s">
        <v>630</v>
      </c>
      <c r="D145" s="181" t="s">
        <v>281</v>
      </c>
      <c r="E145" s="180" t="n">
        <f aca="false">TRUNC((G145*I145)/1000,2)</f>
        <v>0</v>
      </c>
      <c r="F145" s="180" t="n">
        <f aca="false">TRUNC(H145*I145/1000,2)</f>
        <v>0</v>
      </c>
      <c r="G145" s="180"/>
      <c r="H145" s="180"/>
      <c r="I145" s="182" t="n">
        <v>3.76</v>
      </c>
      <c r="J145" s="182" t="n">
        <v>100</v>
      </c>
      <c r="K145" s="181" t="s">
        <v>631</v>
      </c>
      <c r="L145" s="180"/>
      <c r="M145" s="181" t="s">
        <v>488</v>
      </c>
      <c r="N145" s="189"/>
      <c r="O145" s="190"/>
      <c r="P145" s="180"/>
    </row>
    <row r="146" customFormat="false" ht="12.75" hidden="false" customHeight="true" outlineLevel="0" collapsed="false">
      <c r="A146" s="178" t="s">
        <v>282</v>
      </c>
      <c r="B146" s="187" t="s">
        <v>632</v>
      </c>
      <c r="C146" s="191" t="s">
        <v>564</v>
      </c>
      <c r="D146" s="191" t="s">
        <v>281</v>
      </c>
      <c r="E146" s="180" t="n">
        <v>36</v>
      </c>
      <c r="F146" s="180" t="n">
        <v>24</v>
      </c>
      <c r="G146" s="192" t="n">
        <v>7372</v>
      </c>
      <c r="H146" s="192" t="n">
        <v>4924</v>
      </c>
      <c r="I146" s="193" t="n">
        <v>4.88</v>
      </c>
      <c r="J146" s="193"/>
      <c r="K146" s="191" t="s">
        <v>633</v>
      </c>
      <c r="L146" s="187"/>
      <c r="M146" s="191" t="s">
        <v>560</v>
      </c>
      <c r="N146" s="191" t="s">
        <v>634</v>
      </c>
      <c r="O146" s="187"/>
      <c r="P146" s="187"/>
    </row>
    <row r="147" customFormat="false" ht="12.75" hidden="false" customHeight="true" outlineLevel="0" collapsed="false">
      <c r="A147" s="178"/>
      <c r="B147" s="187" t="s">
        <v>635</v>
      </c>
      <c r="C147" s="191" t="s">
        <v>548</v>
      </c>
      <c r="D147" s="191" t="s">
        <v>281</v>
      </c>
      <c r="E147" s="180" t="n">
        <f aca="false">TRUNC((G147*I147)/1000,2)</f>
        <v>23.63</v>
      </c>
      <c r="F147" s="180" t="n">
        <f aca="false">TRUNC(H147*I147/1000,2)</f>
        <v>15.69</v>
      </c>
      <c r="G147" s="192" t="n">
        <v>4944</v>
      </c>
      <c r="H147" s="192" t="n">
        <v>3284</v>
      </c>
      <c r="I147" s="193" t="n">
        <v>4.78</v>
      </c>
      <c r="J147" s="193"/>
      <c r="K147" s="191" t="s">
        <v>636</v>
      </c>
      <c r="L147" s="187"/>
      <c r="M147" s="191" t="s">
        <v>560</v>
      </c>
      <c r="N147" s="191" t="s">
        <v>637</v>
      </c>
      <c r="O147" s="187"/>
      <c r="P147" s="187"/>
    </row>
    <row r="148" customFormat="false" ht="12.75" hidden="false" customHeight="true" outlineLevel="0" collapsed="false">
      <c r="A148" s="178"/>
      <c r="B148" s="187" t="s">
        <v>638</v>
      </c>
      <c r="C148" s="191" t="s">
        <v>639</v>
      </c>
      <c r="D148" s="191" t="s">
        <v>281</v>
      </c>
      <c r="E148" s="180" t="n">
        <v>17.4</v>
      </c>
      <c r="F148" s="180" t="n">
        <v>12.6</v>
      </c>
      <c r="G148" s="192" t="n">
        <v>4656</v>
      </c>
      <c r="H148" s="192" t="n">
        <v>3520</v>
      </c>
      <c r="I148" s="193" t="n">
        <v>3.8</v>
      </c>
      <c r="J148" s="193"/>
      <c r="K148" s="191" t="s">
        <v>640</v>
      </c>
      <c r="L148" s="187"/>
      <c r="M148" s="191" t="s">
        <v>571</v>
      </c>
      <c r="N148" s="191" t="s">
        <v>641</v>
      </c>
      <c r="O148" s="187"/>
      <c r="P148" s="187"/>
    </row>
    <row r="149" customFormat="false" ht="12.75" hidden="false" customHeight="true" outlineLevel="0" collapsed="false">
      <c r="A149" s="178"/>
      <c r="B149" s="187" t="s">
        <v>642</v>
      </c>
      <c r="C149" s="191" t="s">
        <v>573</v>
      </c>
      <c r="D149" s="191" t="s">
        <v>281</v>
      </c>
      <c r="E149" s="180" t="n">
        <v>11.3</v>
      </c>
      <c r="F149" s="180" t="n">
        <v>7.1</v>
      </c>
      <c r="G149" s="192" t="n">
        <v>1936</v>
      </c>
      <c r="H149" s="192" t="n">
        <v>1216</v>
      </c>
      <c r="I149" s="193" t="n">
        <v>5.6</v>
      </c>
      <c r="J149" s="193"/>
      <c r="K149" s="191" t="s">
        <v>643</v>
      </c>
      <c r="L149" s="187"/>
      <c r="M149" s="191" t="s">
        <v>571</v>
      </c>
      <c r="N149" s="191" t="s">
        <v>644</v>
      </c>
      <c r="O149" s="187"/>
      <c r="P149" s="187"/>
    </row>
    <row r="150" customFormat="false" ht="12.75" hidden="false" customHeight="true" outlineLevel="0" collapsed="false">
      <c r="A150" s="178"/>
      <c r="B150" s="187" t="s">
        <v>645</v>
      </c>
      <c r="C150" s="191" t="s">
        <v>646</v>
      </c>
      <c r="D150" s="191" t="s">
        <v>281</v>
      </c>
      <c r="E150" s="180" t="n">
        <v>7.4</v>
      </c>
      <c r="F150" s="180" t="n">
        <v>5</v>
      </c>
      <c r="G150" s="192" t="n">
        <v>3096</v>
      </c>
      <c r="H150" s="192" t="n">
        <v>2080</v>
      </c>
      <c r="I150" s="193" t="n">
        <v>2.4</v>
      </c>
      <c r="J150" s="193"/>
      <c r="K150" s="191" t="s">
        <v>647</v>
      </c>
      <c r="L150" s="187"/>
      <c r="M150" s="191" t="s">
        <v>560</v>
      </c>
      <c r="N150" s="191" t="s">
        <v>648</v>
      </c>
      <c r="O150" s="187"/>
      <c r="P150" s="187"/>
    </row>
    <row r="151" customFormat="false" ht="12.75" hidden="false" customHeight="true" outlineLevel="0" collapsed="false">
      <c r="A151" s="178"/>
      <c r="B151" s="187" t="s">
        <v>649</v>
      </c>
      <c r="C151" s="191" t="s">
        <v>592</v>
      </c>
      <c r="D151" s="191" t="s">
        <v>281</v>
      </c>
      <c r="E151" s="180" t="n">
        <v>7.3</v>
      </c>
      <c r="F151" s="180" t="n">
        <v>4.6</v>
      </c>
      <c r="G151" s="192" t="n">
        <v>1944</v>
      </c>
      <c r="H151" s="192" t="n">
        <v>1224</v>
      </c>
      <c r="I151" s="193" t="n">
        <v>3.75</v>
      </c>
      <c r="J151" s="193"/>
      <c r="K151" s="191" t="s">
        <v>650</v>
      </c>
      <c r="L151" s="187"/>
      <c r="M151" s="191" t="s">
        <v>571</v>
      </c>
      <c r="N151" s="191" t="s">
        <v>651</v>
      </c>
      <c r="O151" s="187"/>
      <c r="P151" s="187"/>
    </row>
    <row r="152" customFormat="false" ht="12.75" hidden="false" customHeight="true" outlineLevel="0" collapsed="false">
      <c r="A152" s="178"/>
      <c r="B152" s="187" t="s">
        <v>652</v>
      </c>
      <c r="C152" s="191" t="s">
        <v>653</v>
      </c>
      <c r="D152" s="191" t="s">
        <v>281</v>
      </c>
      <c r="E152" s="180" t="n">
        <v>5.6</v>
      </c>
      <c r="F152" s="180" t="n">
        <v>3.2</v>
      </c>
      <c r="G152" s="192" t="n">
        <v>1936</v>
      </c>
      <c r="H152" s="192" t="n">
        <v>1096</v>
      </c>
      <c r="I152" s="193" t="n">
        <v>2.9</v>
      </c>
      <c r="J152" s="193"/>
      <c r="K152" s="191" t="s">
        <v>654</v>
      </c>
      <c r="L152" s="187"/>
      <c r="M152" s="191" t="s">
        <v>571</v>
      </c>
      <c r="N152" s="191" t="s">
        <v>655</v>
      </c>
      <c r="O152" s="187"/>
      <c r="P152" s="187"/>
    </row>
    <row r="153" customFormat="false" ht="12.75" hidden="false" customHeight="true" outlineLevel="0" collapsed="false">
      <c r="A153" s="178"/>
      <c r="B153" s="187" t="s">
        <v>656</v>
      </c>
      <c r="C153" s="191" t="s">
        <v>585</v>
      </c>
      <c r="D153" s="191" t="s">
        <v>281</v>
      </c>
      <c r="E153" s="180" t="n">
        <v>4.9</v>
      </c>
      <c r="F153" s="180" t="n">
        <v>3.7</v>
      </c>
      <c r="G153" s="192" t="n">
        <v>1304</v>
      </c>
      <c r="H153" s="192" t="n">
        <v>976</v>
      </c>
      <c r="I153" s="193" t="n">
        <v>3.75</v>
      </c>
      <c r="J153" s="193"/>
      <c r="K153" s="191" t="s">
        <v>657</v>
      </c>
      <c r="L153" s="187"/>
      <c r="M153" s="191" t="s">
        <v>571</v>
      </c>
      <c r="N153" s="191" t="s">
        <v>658</v>
      </c>
      <c r="O153" s="187"/>
      <c r="P153" s="187"/>
    </row>
    <row r="154" customFormat="false" ht="12.75" hidden="false" customHeight="true" outlineLevel="0" collapsed="false">
      <c r="A154" s="178"/>
      <c r="B154" s="187" t="s">
        <v>659</v>
      </c>
      <c r="C154" s="191" t="s">
        <v>660</v>
      </c>
      <c r="D154" s="191" t="s">
        <v>281</v>
      </c>
      <c r="E154" s="180" t="n">
        <v>4.8</v>
      </c>
      <c r="F154" s="180" t="n">
        <v>3.6</v>
      </c>
      <c r="G154" s="192" t="n">
        <v>1280</v>
      </c>
      <c r="H154" s="192" t="n">
        <v>960</v>
      </c>
      <c r="I154" s="193" t="n">
        <v>3.75</v>
      </c>
      <c r="J154" s="193"/>
      <c r="K154" s="191" t="s">
        <v>647</v>
      </c>
      <c r="L154" s="187"/>
      <c r="M154" s="191" t="s">
        <v>571</v>
      </c>
      <c r="N154" s="191" t="s">
        <v>661</v>
      </c>
      <c r="O154" s="187"/>
      <c r="P154" s="187"/>
    </row>
    <row r="155" customFormat="false" ht="12.75" hidden="false" customHeight="true" outlineLevel="0" collapsed="false">
      <c r="A155" s="178"/>
      <c r="B155" s="187" t="s">
        <v>662</v>
      </c>
      <c r="C155" s="191" t="s">
        <v>660</v>
      </c>
      <c r="D155" s="191" t="s">
        <v>281</v>
      </c>
      <c r="E155" s="180" t="n">
        <v>4.8</v>
      </c>
      <c r="F155" s="180" t="n">
        <v>3.6</v>
      </c>
      <c r="G155" s="192" t="n">
        <v>1280</v>
      </c>
      <c r="H155" s="192" t="n">
        <v>960</v>
      </c>
      <c r="I155" s="193" t="n">
        <v>3.75</v>
      </c>
      <c r="J155" s="193"/>
      <c r="K155" s="191" t="s">
        <v>647</v>
      </c>
      <c r="L155" s="187"/>
      <c r="M155" s="191" t="s">
        <v>571</v>
      </c>
      <c r="N155" s="191" t="s">
        <v>661</v>
      </c>
      <c r="O155" s="187"/>
      <c r="P155" s="187"/>
    </row>
    <row r="156" customFormat="false" ht="12.75" hidden="false" customHeight="true" outlineLevel="0" collapsed="false">
      <c r="B156" s="187"/>
      <c r="C156" s="191"/>
      <c r="D156" s="191"/>
      <c r="E156" s="180" t="n">
        <f aca="false">TRUNC((G156*I156)/1000,2)</f>
        <v>0</v>
      </c>
      <c r="F156" s="180" t="n">
        <f aca="false">TRUNC(H156*I156/1000,2)</f>
        <v>0</v>
      </c>
      <c r="G156" s="192"/>
      <c r="H156" s="192"/>
      <c r="I156" s="193"/>
      <c r="J156" s="193"/>
      <c r="K156" s="191"/>
      <c r="L156" s="187"/>
      <c r="M156" s="191"/>
      <c r="N156" s="191"/>
      <c r="O156" s="187"/>
      <c r="P156" s="187"/>
    </row>
    <row r="157" customFormat="false" ht="12.75" hidden="false" customHeight="true" outlineLevel="0" collapsed="false">
      <c r="B157" s="187"/>
      <c r="C157" s="191"/>
      <c r="D157" s="191"/>
      <c r="E157" s="180" t="n">
        <f aca="false">TRUNC((G157*I157)/1000,2)</f>
        <v>0</v>
      </c>
      <c r="F157" s="180" t="n">
        <f aca="false">TRUNC(H157*I157/1000,2)</f>
        <v>0</v>
      </c>
      <c r="G157" s="192"/>
      <c r="H157" s="192"/>
      <c r="I157" s="193"/>
      <c r="J157" s="193"/>
      <c r="K157" s="191"/>
      <c r="L157" s="187"/>
      <c r="M157" s="191"/>
      <c r="N157" s="191"/>
      <c r="O157" s="187"/>
      <c r="P157" s="187"/>
    </row>
    <row r="158" customFormat="false" ht="12.75" hidden="false" customHeight="true" outlineLevel="0" collapsed="false">
      <c r="B158" s="187"/>
      <c r="C158" s="191"/>
      <c r="D158" s="191"/>
      <c r="E158" s="180" t="n">
        <f aca="false">TRUNC((G158*I158)/1000,2)</f>
        <v>0</v>
      </c>
      <c r="F158" s="180" t="n">
        <f aca="false">TRUNC(H158*I158/1000,2)</f>
        <v>0</v>
      </c>
      <c r="G158" s="192"/>
      <c r="H158" s="192"/>
      <c r="I158" s="193"/>
      <c r="J158" s="193"/>
      <c r="K158" s="191"/>
      <c r="L158" s="187"/>
      <c r="M158" s="191"/>
      <c r="N158" s="191"/>
      <c r="O158" s="187"/>
      <c r="P158" s="187"/>
    </row>
    <row r="159" customFormat="false" ht="12.75" hidden="false" customHeight="true" outlineLevel="0" collapsed="false">
      <c r="B159" s="187"/>
      <c r="C159" s="191"/>
      <c r="D159" s="191"/>
      <c r="E159" s="180" t="n">
        <f aca="false">TRUNC((G159*I159)/1000,2)</f>
        <v>0</v>
      </c>
      <c r="F159" s="180" t="n">
        <f aca="false">TRUNC(H159*I159/1000,2)</f>
        <v>0</v>
      </c>
      <c r="G159" s="192"/>
      <c r="H159" s="192"/>
      <c r="I159" s="193"/>
      <c r="J159" s="193"/>
      <c r="K159" s="191"/>
      <c r="L159" s="187"/>
      <c r="M159" s="191"/>
      <c r="N159" s="191"/>
      <c r="O159" s="187"/>
      <c r="P159" s="187"/>
    </row>
    <row r="160" customFormat="false" ht="12.75" hidden="false" customHeight="true" outlineLevel="0" collapsed="false">
      <c r="B160" s="187"/>
      <c r="C160" s="191"/>
      <c r="D160" s="191"/>
      <c r="E160" s="180" t="n">
        <f aca="false">TRUNC((G160*I160)/1000,2)</f>
        <v>0</v>
      </c>
      <c r="F160" s="180" t="n">
        <f aca="false">TRUNC(H160*I160/1000,2)</f>
        <v>0</v>
      </c>
      <c r="G160" s="192"/>
      <c r="H160" s="192"/>
      <c r="I160" s="193"/>
      <c r="J160" s="193"/>
      <c r="K160" s="191"/>
      <c r="L160" s="187"/>
      <c r="M160" s="191"/>
      <c r="N160" s="191"/>
      <c r="O160" s="187"/>
      <c r="P160" s="187"/>
    </row>
  </sheetData>
  <mergeCells count="12">
    <mergeCell ref="A2:A8"/>
    <mergeCell ref="A9:A11"/>
    <mergeCell ref="A12:A36"/>
    <mergeCell ref="A37:A39"/>
    <mergeCell ref="A40:A62"/>
    <mergeCell ref="A63:A68"/>
    <mergeCell ref="A69:A83"/>
    <mergeCell ref="A84:A89"/>
    <mergeCell ref="A90:A96"/>
    <mergeCell ref="A97:A100"/>
    <mergeCell ref="A101:A145"/>
    <mergeCell ref="A146:A155"/>
  </mergeCells>
  <dataValidations count="1">
    <dataValidation allowBlank="true" operator="equal" showDropDown="false" showErrorMessage="true" showInputMessage="false" sqref="A101" type="list">
      <formula1>$caméras.$a116$128</formula1>
      <formula2>0</formula2>
    </dataValidation>
  </dataValidations>
  <hyperlinks>
    <hyperlink ref="B101" r:id="rId1" display="QHY90A"/>
    <hyperlink ref="B102" r:id="rId2" display="QHY16200A"/>
    <hyperlink ref="B103" r:id="rId3" display="QHY695A"/>
    <hyperlink ref="B104" r:id="rId4" display="QHY16803A"/>
    <hyperlink ref="B105" r:id="rId5" display="QHY09000A"/>
    <hyperlink ref="B106" r:id="rId6" display="QHY8L"/>
    <hyperlink ref="B107" r:id="rId7" display="QHY10"/>
    <hyperlink ref="B108" r:id="rId8" display="QHY12"/>
    <hyperlink ref="B109" r:id="rId9" display="IMG2PRO"/>
    <hyperlink ref="B110" r:id="rId10" display="QHY9"/>
    <hyperlink ref="B111" r:id="rId11" display="QHY11"/>
    <hyperlink ref="B112" r:id="rId12" display="QHY21"/>
    <hyperlink ref="B113" r:id="rId13" display="QHY22"/>
    <hyperlink ref="B114" r:id="rId14" display="QHY23"/>
    <hyperlink ref="B115" r:id="rId15" display="QHY27"/>
    <hyperlink ref="B116" r:id="rId16" display="QHY28"/>
    <hyperlink ref="B117" r:id="rId17" display="QHY29"/>
    <hyperlink ref="B118" r:id="rId18" display="QHY183M/C"/>
    <hyperlink ref="B119" r:id="rId19" display="QHY163M/C"/>
    <hyperlink ref="B120" r:id="rId20" display="QHY294C"/>
    <hyperlink ref="B121" r:id="rId21" display="QHY168C"/>
    <hyperlink ref="B122" r:id="rId22" display="QHY247C"/>
    <hyperlink ref="B123" r:id="rId23" display="QHY128C"/>
    <hyperlink ref="B124" r:id="rId24" display="QHY367C"/>
    <hyperlink ref="B126" r:id="rId25" display="QHY174/GPS"/>
    <hyperlink ref="B127" r:id="rId26" display="QHY178M/C"/>
    <hyperlink ref="B128" r:id="rId27" display="QHY290M/C"/>
    <hyperlink ref="B129" r:id="rId28" display="QHY224C"/>
    <hyperlink ref="B130" r:id="rId29" display="QHY5III290M/C"/>
    <hyperlink ref="B131" r:id="rId30" display="QHY5III178M/C"/>
    <hyperlink ref="B132" r:id="rId31" display="QHY5III174M/C"/>
    <hyperlink ref="B133" r:id="rId32" display="QHY5III185C"/>
    <hyperlink ref="B134" r:id="rId33" display="QHY5III224C"/>
    <hyperlink ref="B135" r:id="rId34" display="QHY5L-II"/>
    <hyperlink ref="B136" r:id="rId35" display="QHY5-II"/>
    <hyperlink ref="B137" r:id="rId36" display="QHY5P-II-M"/>
    <hyperlink ref="B138" r:id="rId37" display="QHY5P-II-C"/>
    <hyperlink ref="B139" r:id="rId38" display="QHY5R-II"/>
    <hyperlink ref="B140" r:id="rId39" display="miniCAM5F"/>
    <hyperlink ref="B141" r:id="rId40" display="miniCAM6F"/>
    <hyperlink ref="B142" r:id="rId41" display="QHY42"/>
    <hyperlink ref="B143" r:id="rId42" display="QHY2020"/>
  </hyperlinks>
  <printOptions headings="false" gridLines="false" gridLinesSet="true" horizontalCentered="false" verticalCentered="false"/>
  <pageMargins left="0.747916666666667" right="0.747916666666667" top="0.984027777777778" bottom="0.984027777777778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4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99</TotalTime>
  <Application>LibreOffice/6.0.7.3$Linux_X86_64 LibreOffice_project/00m0$Build-3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2011-05-19T10:09:54Z</dcterms:created>
  <dc:creator>yenapas</dc:creator>
  <dc:description/>
  <dc:language>fr-FR</dc:language>
  <cp:lastModifiedBy/>
  <dcterms:modified xsi:type="dcterms:W3CDTF">2019-12-23T17:15:33Z</dcterms:modified>
  <cp:revision>19</cp:revision>
  <dc:subject/>
  <dc:title/>
</cp:coreProperties>
</file>